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66925"/>
  <mc:AlternateContent xmlns:mc="http://schemas.openxmlformats.org/markup-compatibility/2006">
    <mc:Choice Requires="x15">
      <x15ac:absPath xmlns:x15ac="http://schemas.microsoft.com/office/spreadsheetml/2010/11/ac" url="C:\Users\LauraBelanger\Dropbox\Non-Essential Turf Project\SOW_TaskWork\CaseStudiesReport\TemplateFilesToPost\"/>
    </mc:Choice>
  </mc:AlternateContent>
  <xr:revisionPtr revIDLastSave="0" documentId="13_ncr:1_{7C78787E-5F5C-4F6E-8BF3-6F81DD15A68B}" xr6:coauthVersionLast="47" xr6:coauthVersionMax="47" xr10:uidLastSave="{00000000-0000-0000-0000-000000000000}"/>
  <bookViews>
    <workbookView xWindow="-28920" yWindow="-120" windowWidth="29040" windowHeight="15720" xr2:uid="{00000000-000D-0000-FFFF-FFFF00000000}"/>
  </bookViews>
  <sheets>
    <sheet name="READMe" sheetId="61" r:id="rId1"/>
    <sheet name="RetrofitResultsTable" sheetId="59" r:id="rId2"/>
    <sheet name="RetrofitScenario_EnterData" sheetId="44" r:id="rId3"/>
    <sheet name="RetrofitScenario_Calcs" sheetId="46" r:id="rId4"/>
    <sheet name="Consolidated ET Averages" sheetId="20" r:id="rId5"/>
    <sheet name="Landscape Coefficients" sheetId="24" r:id="rId6"/>
    <sheet name="DropDownLists" sheetId="54" r:id="rId7"/>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59" l="1"/>
  <c r="J9" i="20"/>
  <c r="J10" i="20"/>
  <c r="J11" i="20"/>
  <c r="J12" i="20"/>
  <c r="J13" i="20"/>
  <c r="J14" i="20"/>
  <c r="J15" i="20"/>
  <c r="J16" i="20"/>
  <c r="J17" i="20"/>
  <c r="J18" i="20"/>
  <c r="J19" i="20"/>
  <c r="J20" i="20"/>
  <c r="J21" i="20"/>
  <c r="J8" i="20"/>
  <c r="F9" i="46" l="1"/>
  <c r="C19" i="44" l="1"/>
  <c r="K31" i="46"/>
  <c r="K24" i="46"/>
  <c r="M33" i="46" l="1" a="1"/>
  <c r="M33" i="46" s="1"/>
  <c r="M32" i="46" a="1"/>
  <c r="M32" i="46" s="1"/>
  <c r="M36" i="46" a="1"/>
  <c r="M36" i="46" s="1"/>
  <c r="M31" i="46" a="1"/>
  <c r="M31" i="46" s="1"/>
  <c r="M35" i="46" a="1"/>
  <c r="M35" i="46" s="1"/>
  <c r="M34" i="46" a="1"/>
  <c r="M34" i="46" s="1"/>
  <c r="M25" i="46" a="1"/>
  <c r="M25" i="46" s="1"/>
  <c r="M24" i="46" a="1"/>
  <c r="M24" i="46" s="1"/>
  <c r="M29" i="46" a="1"/>
  <c r="M29" i="46" s="1"/>
  <c r="M26" i="46" a="1"/>
  <c r="M26" i="46" s="1"/>
  <c r="M28" i="46" a="1"/>
  <c r="M28" i="46" s="1"/>
  <c r="M27" i="46" a="1"/>
  <c r="M27" i="46" s="1"/>
  <c r="G30" i="46"/>
  <c r="F30" i="46"/>
  <c r="E30" i="46"/>
  <c r="G23" i="46"/>
  <c r="F23" i="46"/>
  <c r="E23" i="46"/>
  <c r="K17" i="46"/>
  <c r="G16" i="46"/>
  <c r="F16" i="46"/>
  <c r="E16" i="46"/>
  <c r="K10" i="46"/>
  <c r="K9" i="46"/>
  <c r="M9" i="46" s="1" a="1"/>
  <c r="M9" i="46" s="1"/>
  <c r="I9" i="46"/>
  <c r="H9" i="46"/>
  <c r="G9" i="46"/>
  <c r="E9" i="46"/>
  <c r="D9" i="46"/>
  <c r="D16" i="46" s="1"/>
  <c r="D23" i="46" s="1"/>
  <c r="D30" i="46" s="1"/>
  <c r="C9" i="46"/>
  <c r="A9" i="46"/>
  <c r="A16" i="46" s="1"/>
  <c r="A23" i="46" s="1"/>
  <c r="A30" i="46" s="1"/>
  <c r="L9" i="46" l="1"/>
  <c r="L10" i="46" s="1"/>
  <c r="L11" i="46"/>
  <c r="L12" i="46"/>
  <c r="L13" i="46"/>
  <c r="L14" i="46"/>
  <c r="U9" i="46"/>
  <c r="P9" i="46"/>
  <c r="T9" i="46"/>
  <c r="Q9" i="46"/>
  <c r="O9" i="46"/>
  <c r="AA9" i="46"/>
  <c r="S9" i="46"/>
  <c r="Z9" i="46"/>
  <c r="R9" i="46"/>
  <c r="Y9" i="46"/>
  <c r="X9" i="46"/>
  <c r="V9" i="46"/>
  <c r="N9" i="46"/>
  <c r="W9" i="46"/>
  <c r="L24" i="46"/>
  <c r="L27" i="46"/>
  <c r="L26" i="46"/>
  <c r="L29" i="46"/>
  <c r="L25" i="46"/>
  <c r="L28" i="46"/>
  <c r="K16" i="46"/>
  <c r="M16" i="46" s="1" a="1"/>
  <c r="M16" i="46" s="1"/>
  <c r="L35" i="46"/>
  <c r="L36" i="46"/>
  <c r="L34" i="46"/>
  <c r="L33" i="46"/>
  <c r="L32" i="46"/>
  <c r="M20" i="46" a="1"/>
  <c r="M20" i="46" s="1"/>
  <c r="M19" i="46" a="1"/>
  <c r="M19" i="46" s="1"/>
  <c r="M18" i="46" a="1"/>
  <c r="M18" i="46" s="1"/>
  <c r="M17" i="46" a="1"/>
  <c r="M17" i="46" s="1"/>
  <c r="M22" i="46" a="1"/>
  <c r="M22" i="46" s="1"/>
  <c r="M21" i="46" a="1"/>
  <c r="M21" i="46" s="1"/>
  <c r="L22" i="46"/>
  <c r="L20" i="46"/>
  <c r="L21" i="46"/>
  <c r="L19" i="46"/>
  <c r="L18" i="46"/>
  <c r="M10" i="46" a="1"/>
  <c r="M10" i="46" s="1"/>
  <c r="M13" i="46" a="1"/>
  <c r="M13" i="46" s="1"/>
  <c r="M15" i="46" a="1"/>
  <c r="M15" i="46" s="1"/>
  <c r="M12" i="46" a="1"/>
  <c r="M12" i="46" s="1"/>
  <c r="M14" i="46" a="1"/>
  <c r="M14" i="46" s="1"/>
  <c r="M11" i="46" a="1"/>
  <c r="M11" i="46" s="1"/>
  <c r="L15" i="46"/>
  <c r="H16" i="46"/>
  <c r="C16" i="46"/>
  <c r="L17" i="46" s="1"/>
  <c r="I16" i="46"/>
  <c r="H23" i="46" l="1"/>
  <c r="W16" i="46"/>
  <c r="O16" i="46"/>
  <c r="S16" i="46"/>
  <c r="Q16" i="46"/>
  <c r="V16" i="46"/>
  <c r="N16" i="46"/>
  <c r="Z16" i="46"/>
  <c r="U16" i="46"/>
  <c r="AA16" i="46"/>
  <c r="R16" i="46"/>
  <c r="T16" i="46"/>
  <c r="Y16" i="46"/>
  <c r="X16" i="46"/>
  <c r="P16" i="46"/>
  <c r="AF10" i="46"/>
  <c r="AF11" i="46"/>
  <c r="AF12" i="46"/>
  <c r="AF13" i="46"/>
  <c r="AF14" i="46"/>
  <c r="AF15" i="46"/>
  <c r="AF9" i="46"/>
  <c r="AD9" i="46"/>
  <c r="AD10" i="46"/>
  <c r="AD11" i="46"/>
  <c r="AD12" i="46"/>
  <c r="AD13" i="46"/>
  <c r="AD14" i="46"/>
  <c r="AD15" i="46"/>
  <c r="AC15" i="46"/>
  <c r="AC9" i="46"/>
  <c r="AC10" i="46"/>
  <c r="AC11" i="46"/>
  <c r="AC12" i="46"/>
  <c r="AC13" i="46"/>
  <c r="AC14" i="46"/>
  <c r="AE9" i="46"/>
  <c r="AE10" i="46"/>
  <c r="AE11" i="46"/>
  <c r="AE12" i="46"/>
  <c r="AE13" i="46"/>
  <c r="AE14" i="46"/>
  <c r="AE15" i="46"/>
  <c r="AG11" i="46"/>
  <c r="AG12" i="46"/>
  <c r="AG13" i="46"/>
  <c r="AG14" i="46"/>
  <c r="AG15" i="46"/>
  <c r="AG9" i="46"/>
  <c r="AG10" i="46"/>
  <c r="K23" i="46"/>
  <c r="M23" i="46" s="1" a="1"/>
  <c r="M23" i="46" s="1"/>
  <c r="C23" i="46"/>
  <c r="L16" i="46"/>
  <c r="H30" i="46"/>
  <c r="I23" i="46"/>
  <c r="AH19" i="46" l="1"/>
  <c r="AG19" i="46"/>
  <c r="AF21" i="46"/>
  <c r="AE22" i="46"/>
  <c r="AD21" i="46"/>
  <c r="AC21" i="46"/>
  <c r="AB19" i="46"/>
  <c r="AH20" i="46"/>
  <c r="AH22" i="46"/>
  <c r="AH21" i="46"/>
  <c r="AH17" i="46"/>
  <c r="AH18" i="46"/>
  <c r="AG20" i="46"/>
  <c r="AG17" i="46"/>
  <c r="AG21" i="46"/>
  <c r="AG18" i="46"/>
  <c r="AG22" i="46"/>
  <c r="AF18" i="46"/>
  <c r="AF19" i="46"/>
  <c r="AF20" i="46"/>
  <c r="AF22" i="46"/>
  <c r="AF17" i="46"/>
  <c r="AE18" i="46"/>
  <c r="AE17" i="46"/>
  <c r="AE20" i="46"/>
  <c r="AE19" i="46"/>
  <c r="AE21" i="46"/>
  <c r="AD20" i="46"/>
  <c r="AD19" i="46"/>
  <c r="AD22" i="46"/>
  <c r="AD18" i="46"/>
  <c r="AD17" i="46"/>
  <c r="AC18" i="46"/>
  <c r="AC20" i="46"/>
  <c r="AC19" i="46"/>
  <c r="AC22" i="46"/>
  <c r="AC17" i="46"/>
  <c r="AB21" i="46"/>
  <c r="AB20" i="46"/>
  <c r="AB22" i="46"/>
  <c r="AB18" i="46"/>
  <c r="AB17" i="46"/>
  <c r="AD16" i="46"/>
  <c r="AF16" i="46"/>
  <c r="AC16" i="46"/>
  <c r="Y23" i="46"/>
  <c r="Q23" i="46"/>
  <c r="U23" i="46"/>
  <c r="X23" i="46"/>
  <c r="P23" i="46"/>
  <c r="AA23" i="46"/>
  <c r="W23" i="46"/>
  <c r="O23" i="46"/>
  <c r="S23" i="46"/>
  <c r="V23" i="46"/>
  <c r="N23" i="46"/>
  <c r="T23" i="46"/>
  <c r="Z23" i="46"/>
  <c r="R23" i="46"/>
  <c r="AA30" i="46"/>
  <c r="S30" i="46"/>
  <c r="V30" i="46"/>
  <c r="Z30" i="46"/>
  <c r="R30" i="46"/>
  <c r="O30" i="46"/>
  <c r="Y30" i="46"/>
  <c r="Q30" i="46"/>
  <c r="N30" i="46"/>
  <c r="X30" i="46"/>
  <c r="P30" i="46"/>
  <c r="W30" i="46"/>
  <c r="T30" i="46"/>
  <c r="U30" i="46"/>
  <c r="AG16" i="46"/>
  <c r="AE16" i="46"/>
  <c r="K30" i="46"/>
  <c r="M30" i="46" s="1" a="1"/>
  <c r="M30" i="46" s="1"/>
  <c r="C30" i="46"/>
  <c r="L23" i="46"/>
  <c r="AE24" i="46" l="1"/>
  <c r="AF27" i="46"/>
  <c r="AG26" i="46"/>
  <c r="AG24" i="46"/>
  <c r="AC27" i="46"/>
  <c r="AC29" i="46"/>
  <c r="AC28" i="46"/>
  <c r="AC24" i="46"/>
  <c r="AE25" i="46"/>
  <c r="AG28" i="46"/>
  <c r="AE27" i="46"/>
  <c r="AG29" i="46"/>
  <c r="AG27" i="46"/>
  <c r="AC26" i="46"/>
  <c r="AE29" i="46"/>
  <c r="AC25" i="46"/>
  <c r="AE26" i="46"/>
  <c r="AE23" i="46"/>
  <c r="AF28" i="46"/>
  <c r="AF29" i="46"/>
  <c r="AF24" i="46"/>
  <c r="AF25" i="46"/>
  <c r="AE28" i="46"/>
  <c r="AF26" i="46"/>
  <c r="AG25" i="46"/>
  <c r="AD27" i="46"/>
  <c r="AG23" i="46"/>
  <c r="AD24" i="46"/>
  <c r="AD28" i="46"/>
  <c r="AF23" i="46"/>
  <c r="AD29" i="46"/>
  <c r="L30" i="46"/>
  <c r="L31" i="46"/>
  <c r="AC23" i="46"/>
  <c r="AD23" i="46"/>
  <c r="AD26" i="46"/>
  <c r="AD25" i="46"/>
  <c r="C17" i="44"/>
  <c r="I30" i="46"/>
  <c r="AC34" i="46" l="1"/>
  <c r="AF34" i="46"/>
  <c r="AE31" i="46"/>
  <c r="AC30" i="46"/>
  <c r="AD31" i="46"/>
  <c r="AE30" i="46"/>
  <c r="AC32" i="46"/>
  <c r="AG34" i="46"/>
  <c r="AF32" i="46"/>
  <c r="AD36" i="46"/>
  <c r="AE36" i="46"/>
  <c r="AC31" i="46"/>
  <c r="AD30" i="46"/>
  <c r="AG33" i="46"/>
  <c r="AF31" i="46"/>
  <c r="AD35" i="46"/>
  <c r="AE35" i="46"/>
  <c r="AC33" i="46"/>
  <c r="AG36" i="46"/>
  <c r="AC35" i="46"/>
  <c r="AF30" i="46"/>
  <c r="AD34" i="46"/>
  <c r="AE34" i="46"/>
  <c r="AE32" i="46"/>
  <c r="AG35" i="46"/>
  <c r="AF33" i="46"/>
  <c r="AG31" i="46"/>
  <c r="AD33" i="46"/>
  <c r="AE33" i="46"/>
  <c r="AG32" i="46"/>
  <c r="AF36" i="46"/>
  <c r="AG30" i="46"/>
  <c r="AF35" i="46"/>
  <c r="AD32" i="46"/>
  <c r="AC36" i="46"/>
  <c r="AB16" i="46"/>
  <c r="AH16" i="46"/>
  <c r="AB14" i="46"/>
  <c r="AB15" i="46"/>
  <c r="AB9" i="46"/>
  <c r="AB10" i="46"/>
  <c r="AB11" i="46"/>
  <c r="AB12" i="46"/>
  <c r="AB13" i="46"/>
  <c r="AB30" i="46"/>
  <c r="AB31" i="46"/>
  <c r="AB32" i="46"/>
  <c r="AB33" i="46"/>
  <c r="AB34" i="46"/>
  <c r="AB35" i="46"/>
  <c r="AB36" i="46"/>
  <c r="AH36" i="46"/>
  <c r="AH30" i="46"/>
  <c r="AH31" i="46"/>
  <c r="AH32" i="46"/>
  <c r="AH33" i="46"/>
  <c r="AH34" i="46"/>
  <c r="AH35" i="46"/>
  <c r="AH28" i="46"/>
  <c r="AH29" i="46"/>
  <c r="AH23" i="46"/>
  <c r="AH24" i="46"/>
  <c r="AH25" i="46"/>
  <c r="AH26" i="46"/>
  <c r="AH27" i="46"/>
  <c r="AB23" i="46"/>
  <c r="AB24" i="46"/>
  <c r="AB25" i="46"/>
  <c r="AB26" i="46"/>
  <c r="AB27" i="46"/>
  <c r="AB28" i="46"/>
  <c r="AB29" i="46"/>
  <c r="AH12" i="46"/>
  <c r="AH13" i="46"/>
  <c r="AH14" i="46"/>
  <c r="AH15" i="46"/>
  <c r="AH9" i="46"/>
  <c r="AH10" i="46"/>
  <c r="AH11" i="46"/>
  <c r="AI19" i="46"/>
  <c r="AJ19" i="46" s="1" a="1"/>
  <c r="AJ19" i="46" s="1"/>
  <c r="AI17" i="46"/>
  <c r="AJ17" i="46" s="1" a="1"/>
  <c r="AJ17" i="46" s="1"/>
  <c r="AI18" i="46"/>
  <c r="AJ18" i="46" s="1" a="1"/>
  <c r="AJ18" i="46" s="1"/>
  <c r="AI21" i="46"/>
  <c r="AJ21" i="46" s="1" a="1"/>
  <c r="AJ21" i="46" s="1"/>
  <c r="AI22" i="46"/>
  <c r="AJ22" i="46" s="1" a="1"/>
  <c r="AJ22" i="46" s="1"/>
  <c r="AI20" i="46"/>
  <c r="AJ20" i="46" s="1" a="1"/>
  <c r="AJ20" i="46" s="1"/>
  <c r="AI27" i="46" l="1"/>
  <c r="AJ27" i="46" s="1" a="1"/>
  <c r="AJ27" i="46" s="1"/>
  <c r="AI16" i="46"/>
  <c r="AL20" i="46" s="1"/>
  <c r="AI34" i="46"/>
  <c r="AJ34" i="46" s="1" a="1"/>
  <c r="AJ34" i="46" s="1"/>
  <c r="AI30" i="46"/>
  <c r="AJ30" i="46" s="1" a="1"/>
  <c r="AJ30" i="46" s="1"/>
  <c r="AI10" i="46"/>
  <c r="AJ10" i="46" s="1" a="1"/>
  <c r="AJ10" i="46" s="1"/>
  <c r="AI32" i="46"/>
  <c r="AJ32" i="46" s="1" a="1"/>
  <c r="AJ32" i="46" s="1"/>
  <c r="AK32" i="46" s="1"/>
  <c r="AI29" i="46"/>
  <c r="AJ29" i="46" s="1" a="1"/>
  <c r="AJ29" i="46" s="1"/>
  <c r="AI26" i="46"/>
  <c r="AJ26" i="46" s="1" a="1"/>
  <c r="AJ26" i="46" s="1"/>
  <c r="AI31" i="46"/>
  <c r="AJ31" i="46" s="1" a="1"/>
  <c r="AJ31" i="46" s="1"/>
  <c r="AI14" i="46"/>
  <c r="AJ14" i="46" s="1" a="1"/>
  <c r="AJ14" i="46" s="1"/>
  <c r="AI13" i="46"/>
  <c r="AJ13" i="46" s="1" a="1"/>
  <c r="AJ13" i="46" s="1"/>
  <c r="AI9" i="46"/>
  <c r="AJ9" i="46" s="1" a="1"/>
  <c r="AJ9" i="46" s="1"/>
  <c r="AI24" i="46"/>
  <c r="AJ24" i="46" s="1" a="1"/>
  <c r="AJ24" i="46" s="1"/>
  <c r="AI28" i="46"/>
  <c r="AJ28" i="46" s="1" a="1"/>
  <c r="AJ28" i="46" s="1"/>
  <c r="AI36" i="46"/>
  <c r="AJ36" i="46" s="1" a="1"/>
  <c r="AJ36" i="46" s="1"/>
  <c r="AI12" i="46"/>
  <c r="AJ12" i="46" s="1" a="1"/>
  <c r="AJ12" i="46" s="1"/>
  <c r="AI23" i="46"/>
  <c r="AI11" i="46"/>
  <c r="AJ11" i="46" s="1" a="1"/>
  <c r="AJ11" i="46" s="1"/>
  <c r="AI33" i="46"/>
  <c r="AJ33" i="46" s="1" a="1"/>
  <c r="AJ33" i="46" s="1"/>
  <c r="AI15" i="46"/>
  <c r="AJ15" i="46" s="1" a="1"/>
  <c r="AJ15" i="46" s="1"/>
  <c r="AL15" i="46" s="1"/>
  <c r="AI35" i="46"/>
  <c r="AJ35" i="46" s="1" a="1"/>
  <c r="AJ35" i="46" s="1"/>
  <c r="AL35" i="46" s="1"/>
  <c r="AI25" i="46"/>
  <c r="AJ25" i="46" s="1" a="1"/>
  <c r="AJ25" i="46" s="1"/>
  <c r="AL34" i="46" l="1"/>
  <c r="AL17" i="46"/>
  <c r="AL12" i="46"/>
  <c r="AL36" i="46"/>
  <c r="AL18" i="46"/>
  <c r="AL21" i="46"/>
  <c r="AL22" i="46"/>
  <c r="AL19" i="46"/>
  <c r="AL31" i="46"/>
  <c r="AK33" i="46"/>
  <c r="AJ16" i="46" a="1"/>
  <c r="AJ16" i="46" s="1"/>
  <c r="AK21" i="46"/>
  <c r="AK20" i="46"/>
  <c r="AK22" i="46"/>
  <c r="AK18" i="46"/>
  <c r="AK19" i="46"/>
  <c r="AK17" i="46"/>
  <c r="AR12" i="46"/>
  <c r="C10" i="59" s="1"/>
  <c r="D10" i="59" s="1"/>
  <c r="AL14" i="46"/>
  <c r="AL10" i="46"/>
  <c r="AK10" i="46"/>
  <c r="AL26" i="46"/>
  <c r="AK14" i="46"/>
  <c r="AL24" i="46"/>
  <c r="AL13" i="46"/>
  <c r="AL27" i="46"/>
  <c r="AR9" i="46"/>
  <c r="C9" i="59" s="1"/>
  <c r="D9" i="59" s="1"/>
  <c r="AK26" i="46"/>
  <c r="AL28" i="46"/>
  <c r="AL29" i="46"/>
  <c r="AK29" i="46"/>
  <c r="AK27" i="46"/>
  <c r="AK11" i="46"/>
  <c r="AJ23" i="46" a="1"/>
  <c r="AJ23" i="46" s="1"/>
  <c r="AL11" i="46"/>
  <c r="AK12" i="46"/>
  <c r="AL25" i="46"/>
  <c r="AK25" i="46"/>
  <c r="AK31" i="46"/>
  <c r="AK35" i="46"/>
  <c r="AK36" i="46"/>
  <c r="AK34" i="46"/>
  <c r="AL32" i="46"/>
  <c r="AL33" i="46"/>
  <c r="AK15" i="46"/>
  <c r="AK24" i="46"/>
  <c r="AK28" i="46"/>
  <c r="AK13" i="46"/>
  <c r="AM16" i="46" l="1"/>
  <c r="AN16" i="46"/>
  <c r="AO9" i="46"/>
  <c r="AN23" i="46"/>
  <c r="AR11" i="46"/>
  <c r="AN30" i="46"/>
  <c r="AM23" i="46"/>
  <c r="AM30" i="46"/>
  <c r="AO30" i="46"/>
  <c r="AN9" i="46"/>
  <c r="AM9" i="46"/>
  <c r="AO23" i="46"/>
  <c r="AO16" i="46"/>
  <c r="C11" i="59" l="1"/>
  <c r="D11" i="59" s="1"/>
  <c r="AR13" i="46" l="1"/>
  <c r="C13" i="59" s="1"/>
  <c r="AR10" i="46"/>
  <c r="C12" i="59" s="1"/>
  <c r="D12" i="5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<sst xmlns="http://schemas.openxmlformats.org/spreadsheetml/2006/main" count="237" uniqueCount="166">
  <si>
    <t>Landscape Conversion Water Savings Estimate Calculator</t>
  </si>
  <si>
    <t>Project/Design Name</t>
  </si>
  <si>
    <t>Square Footage of Conversion Area</t>
  </si>
  <si>
    <t>Existing Landscape Type</t>
  </si>
  <si>
    <t>Existing Landscape Water Use Intensity</t>
  </si>
  <si>
    <t>Existing Landscape Irrigation Type</t>
  </si>
  <si>
    <t>Irrigation Upgrade Option</t>
  </si>
  <si>
    <t>Reference ET (inches)</t>
  </si>
  <si>
    <t>Rainfall (inches)</t>
  </si>
  <si>
    <t>Landscape Water Requirement (LWR) (Gallons)</t>
  </si>
  <si>
    <t>Design Name</t>
  </si>
  <si>
    <t>Existing Landscape</t>
  </si>
  <si>
    <t>Existing Water Use</t>
  </si>
  <si>
    <t>New Landscape</t>
  </si>
  <si>
    <t>New Water Use</t>
  </si>
  <si>
    <t>Irrigation Upgrade</t>
  </si>
  <si>
    <t>Weather Station</t>
  </si>
  <si>
    <t>SQ.FT.</t>
  </si>
  <si>
    <t>Year</t>
  </si>
  <si>
    <t>Irrigation Type</t>
  </si>
  <si>
    <t>Landscape Coefficient</t>
  </si>
  <si>
    <t>April</t>
  </si>
  <si>
    <t>May</t>
  </si>
  <si>
    <t>June</t>
  </si>
  <si>
    <t>July</t>
  </si>
  <si>
    <t>August</t>
  </si>
  <si>
    <t>September</t>
  </si>
  <si>
    <t>October</t>
  </si>
  <si>
    <t>Irrigation Upgrade Savings (gals)</t>
  </si>
  <si>
    <t>Total Gallons Saved (Annual)</t>
  </si>
  <si>
    <t>% Estimated Savings</t>
  </si>
  <si>
    <t>Total Savings Over 5 Years</t>
  </si>
  <si>
    <t>Avg. Annual Savings Over 5 Years</t>
  </si>
  <si>
    <t>Avg. % Savings Over 5 Years</t>
  </si>
  <si>
    <t>Baseline</t>
  </si>
  <si>
    <t>Landscape Type</t>
  </si>
  <si>
    <t>Cool Season Turf</t>
  </si>
  <si>
    <t>Plantings</t>
  </si>
  <si>
    <t>Native Grass</t>
  </si>
  <si>
    <t>Water Use</t>
  </si>
  <si>
    <t>High</t>
  </si>
  <si>
    <t>Medium</t>
  </si>
  <si>
    <t>Low</t>
  </si>
  <si>
    <t>Station</t>
  </si>
  <si>
    <t>Aug.</t>
  </si>
  <si>
    <t>Sept.</t>
  </si>
  <si>
    <t>Oct.</t>
  </si>
  <si>
    <t>Berthoud</t>
  </si>
  <si>
    <t>Boulder</t>
  </si>
  <si>
    <t>Eaton</t>
  </si>
  <si>
    <t>Fort Collins</t>
  </si>
  <si>
    <t>Fort Lupton</t>
  </si>
  <si>
    <t>Gilcrest</t>
  </si>
  <si>
    <t>Greeley</t>
  </si>
  <si>
    <t>Johnsons Corner</t>
  </si>
  <si>
    <t>Longmont</t>
  </si>
  <si>
    <t>Loveland</t>
  </si>
  <si>
    <t>Square Footage QC</t>
  </si>
  <si>
    <t>Existing Landscaping</t>
  </si>
  <si>
    <t>New Landscaping 1</t>
  </si>
  <si>
    <t xml:space="preserve">Square Footage New Landscape 1 Type </t>
  </si>
  <si>
    <t>New Landscape 1 Type</t>
  </si>
  <si>
    <t>New Landscape 1 Water Use Intensity</t>
  </si>
  <si>
    <t>New Landscape 1 Irrigation Type</t>
  </si>
  <si>
    <t>New Landscaping 2</t>
  </si>
  <si>
    <t xml:space="preserve">Square Footage New Landscape 2 Type </t>
  </si>
  <si>
    <t>New Landscape 2 Type</t>
  </si>
  <si>
    <t>New Landscape 2 Water Use Intensity</t>
  </si>
  <si>
    <t>New Landscape 2 Irrigation Type</t>
  </si>
  <si>
    <t>New Landscaping 3</t>
  </si>
  <si>
    <t xml:space="preserve">Square Footage New Landscape 3 Type </t>
  </si>
  <si>
    <t>New Landscape 3 Type</t>
  </si>
  <si>
    <t>New Landscape 3 Water Use Intensity</t>
  </si>
  <si>
    <t>New Landscape 3 Irrigation Type</t>
  </si>
  <si>
    <t>New Landscaping 4</t>
  </si>
  <si>
    <t xml:space="preserve">Square Footage New Landscape 4 Type </t>
  </si>
  <si>
    <t>New Landscape 4 Type</t>
  </si>
  <si>
    <t>New Landscape 4 Water Use Intensity</t>
  </si>
  <si>
    <t>New Landscape 4 Irrigation Type</t>
  </si>
  <si>
    <t>CONVERSION AREA 1</t>
  </si>
  <si>
    <t>Parcel ID</t>
  </si>
  <si>
    <t>Westminster</t>
  </si>
  <si>
    <t>Location of Project or Climate Data for Analysis</t>
  </si>
  <si>
    <t>Fixed Spray</t>
  </si>
  <si>
    <t>Property Type</t>
  </si>
  <si>
    <t>CA1NL1</t>
  </si>
  <si>
    <t>CA1NL2</t>
  </si>
  <si>
    <t>CA1NL3</t>
  </si>
  <si>
    <t>CA1NL4</t>
  </si>
  <si>
    <t>Below New Landscaping for up to four Conversion Areas may include up to four types of new landscaping. Only fill out as many types as are needed leaving others blank.</t>
  </si>
  <si>
    <t>Rotor</t>
  </si>
  <si>
    <t>Smart Controller</t>
  </si>
  <si>
    <t>Total Annual Baseline LWR (gals)</t>
  </si>
  <si>
    <t>TOTALS</t>
  </si>
  <si>
    <t>Total Annual LWR at Year 6 (gals)</t>
  </si>
  <si>
    <t>Total Annual Savings at Year 6 (gals)</t>
  </si>
  <si>
    <t>Total Savings Over 6 Years (gals)</t>
  </si>
  <si>
    <t>Total Annual Savings at Year 6 (%)</t>
  </si>
  <si>
    <t>None</t>
  </si>
  <si>
    <t>Broomfield</t>
  </si>
  <si>
    <t>Other (Avg of Northern Stations)</t>
  </si>
  <si>
    <t>Microspray</t>
  </si>
  <si>
    <t>No Supplemental Irrigation</t>
  </si>
  <si>
    <t>Dropdown Selection Lists</t>
  </si>
  <si>
    <t>Water Use Intensity</t>
  </si>
  <si>
    <t>Efficient Drip</t>
  </si>
  <si>
    <t>Irrigation Upgrade Options</t>
  </si>
  <si>
    <t>HE MP Nozzles</t>
  </si>
  <si>
    <t>PRS-CV Heads</t>
  </si>
  <si>
    <t>Do not delete these lists, which are used for dropdown list options in worksheets</t>
  </si>
  <si>
    <t>Difference</t>
  </si>
  <si>
    <t>Distribution Uniformity (low quarter)</t>
  </si>
  <si>
    <t>Standard Drip</t>
  </si>
  <si>
    <t>gallons</t>
  </si>
  <si>
    <t>acre-feet</t>
  </si>
  <si>
    <t>1st Year Post Conversion</t>
  </si>
  <si>
    <t>2nd Year Post Conversion</t>
  </si>
  <si>
    <t>3rd Year Post Conversion</t>
  </si>
  <si>
    <t>4th Year Post Conversion</t>
  </si>
  <si>
    <t>5th Year Post Conversion</t>
  </si>
  <si>
    <t>6th Year Post Conversion</t>
  </si>
  <si>
    <t>Annual Supplemental Irrigation Needs</t>
  </si>
  <si>
    <t>OTHER</t>
  </si>
  <si>
    <t>Westminster and Broomfield averages were provided by those communities.</t>
  </si>
  <si>
    <t>Note this tool uses a growing season of April 16th through October 15th. For consistency, divide full month data for April and October in half prior to entering data.</t>
  </si>
  <si>
    <t>An option to also estimate water savings based on high-level plant type average annual supplement irrigation (SI) needs was added as secondary method.</t>
  </si>
  <si>
    <t>INSTRUCTIONS</t>
  </si>
  <si>
    <t>Note: "Other (Avg of Northern Stations)" is different than the average for the communities listed here as some communities have more than one station (not shown here).</t>
  </si>
  <si>
    <t>"OTHER" in cell A18 may be changed to name of community.  That will update it throughout the tool.</t>
  </si>
  <si>
    <t>Enter existing and replacement landscape and irrigation system information in the "RetrofitScenario_EnterData" worksheet.  Additional instructions are provided in that worksheet.</t>
  </si>
  <si>
    <t xml:space="preserve">Select  "Location of Project or Climate Data for Analysis" community from dropdown list in the "RetrofitScenario_EnterData" worksheet.   </t>
  </si>
  <si>
    <t>Up to four areas of new landscape types may be entered with total square footage that must equal existing landscaping footage.</t>
  </si>
  <si>
    <t>Enter or select all data (square footage, landscape type, water use intensity, irrigation type, irrigation upgrade option) for Existing and New Landscaping.</t>
  </si>
  <si>
    <t>Enter Project/Design Name</t>
  </si>
  <si>
    <t xml:space="preserve">Select location from the dropdown list next to "Location of Project or Climate Data for Analysis". </t>
  </si>
  <si>
    <t>Test Retrofit</t>
  </si>
  <si>
    <t>No Irrigation</t>
  </si>
  <si>
    <t>The "No Irrigation" New Landscape Type may be for hardscaped areas as well plants that won't require supplemental irrigation.</t>
  </si>
  <si>
    <t>Landscaping</t>
  </si>
  <si>
    <t>New Landscaping</t>
  </si>
  <si>
    <t>Annual Water Savings with New Landscaping (post-establishment)</t>
  </si>
  <si>
    <t xml:space="preserve">Total water savings over initial 6-years including establishment </t>
  </si>
  <si>
    <t>Annual Percent Water Savings (post-establishment)</t>
  </si>
  <si>
    <t>Results are summarized in the "RetrofitsResultsTable"</t>
  </si>
  <si>
    <t>Annual Landscape Water Requirement (LWR) (gals)</t>
  </si>
  <si>
    <t xml:space="preserve">If fewer than four new landscapes are needed, for unused New Landscape Types enter 0.0 for Square Footage, select "No Irrigation" Landscape Type, Select "No Supplemental Irrigation" for Water Use Intensity, and "None" for Irrigation Type and Irrigation Upgrade Option. </t>
  </si>
  <si>
    <t>INSTRUCTIONS ON HOW TO USE THE TOOL</t>
  </si>
  <si>
    <t>Functionality was added to allow up to four "New Landscaping" types compared to the one new landscaping type in Northern's tool. This change was made to streamline calculations and to provide user ability to view all replacement landscaping types at a glance.</t>
  </si>
  <si>
    <t>EPA Water Sense Water Budget Tool</t>
  </si>
  <si>
    <t>Modifications from Northern's tool made for this project include:</t>
  </si>
  <si>
    <r>
      <t xml:space="preserve">This tool is an adaptation of </t>
    </r>
    <r>
      <rPr>
        <u/>
        <sz val="11"/>
        <color theme="1"/>
        <rFont val="Open Sans"/>
        <family val="2"/>
      </rPr>
      <t>Northern Water's Landscape Conservation Water Savings Estimate Tool</t>
    </r>
    <r>
      <rPr>
        <sz val="11"/>
        <color theme="1"/>
        <rFont val="Open Sans"/>
        <family val="2"/>
      </rPr>
      <t xml:space="preserve">. Northern Water's tool is derived from the </t>
    </r>
    <r>
      <rPr>
        <u/>
        <sz val="11"/>
        <color theme="1"/>
        <rFont val="Open Sans"/>
        <family val="2"/>
      </rPr>
      <t>EPA WaterSense Water Budget Tool</t>
    </r>
    <r>
      <rPr>
        <sz val="11"/>
        <color theme="1"/>
        <rFont val="Open Sans"/>
        <family val="2"/>
      </rPr>
      <t xml:space="preserve">.
</t>
    </r>
    <r>
      <rPr>
        <i/>
        <sz val="11"/>
        <color theme="1"/>
        <rFont val="Open Sans"/>
        <family val="2"/>
      </rPr>
      <t>Northern Water allowed Western Resource Advocates and WaterNow Alliance to modify their tool for this project.</t>
    </r>
  </si>
  <si>
    <t>Check the "RetrofitScenario_Calcs" worksheet to confirm cells are calculating correctly.  No formula changes to this worksheet are required.</t>
  </si>
  <si>
    <t>Northern Water's Landscape Conversion Tool</t>
  </si>
  <si>
    <t>ET and Precipitation averages were entered as set values (Northern's tool includes some calculations so that additional year's data can be added over time).</t>
  </si>
  <si>
    <t>Functionality to add average evapotranspiration (ET) and precipitation rates for additional communities was also added.</t>
  </si>
  <si>
    <t>If community is not listed, go to "Consolidated ET Averages" worksheet and add average monthly ET and Precipitation data for community. Additional instructions are provided in that worksheet.</t>
  </si>
  <si>
    <t xml:space="preserve">If community is not listed, first go to "Consolidated ET Averages" worksheet and add average monthly ET and Precipitation data for community. </t>
  </si>
  <si>
    <t>Misc.</t>
  </si>
  <si>
    <t>Note data entered must be consistent or an error in calculations may result.  E.g., if Landscape Type = "No Irrigation" then Irrigation Type must be set to "None".</t>
  </si>
  <si>
    <t>INSTRUCTIONS: No changes should be made to formulas in this worksheet, as it will auto-calculated based on data in the other worksheets.</t>
  </si>
  <si>
    <r>
      <t>Average Monthly</t>
    </r>
    <r>
      <rPr>
        <vertAlign val="superscript"/>
        <sz val="11"/>
        <color theme="1"/>
        <rFont val="Open Sans"/>
        <family val="2"/>
      </rPr>
      <t>1</t>
    </r>
    <r>
      <rPr>
        <sz val="11"/>
        <color theme="1"/>
        <rFont val="Open Sans"/>
        <family val="2"/>
      </rPr>
      <t xml:space="preserve"> ETo</t>
    </r>
    <r>
      <rPr>
        <vertAlign val="superscript"/>
        <sz val="11"/>
        <color theme="1"/>
        <rFont val="Open Sans"/>
        <family val="2"/>
      </rPr>
      <t>2</t>
    </r>
    <r>
      <rPr>
        <sz val="11"/>
        <color theme="1"/>
        <rFont val="Open Sans"/>
        <family val="2"/>
      </rPr>
      <t xml:space="preserve"> (Inches)</t>
    </r>
  </si>
  <si>
    <r>
      <t>Average Monthly</t>
    </r>
    <r>
      <rPr>
        <b/>
        <vertAlign val="superscript"/>
        <sz val="11"/>
        <color theme="1"/>
        <rFont val="Open Sans"/>
        <family val="2"/>
      </rPr>
      <t>1</t>
    </r>
    <r>
      <rPr>
        <b/>
        <sz val="11"/>
        <color theme="1"/>
        <rFont val="Open Sans"/>
        <family val="2"/>
      </rPr>
      <t xml:space="preserve"> Precipitation Inches)</t>
    </r>
  </si>
  <si>
    <r>
      <rPr>
        <vertAlign val="superscript"/>
        <sz val="11"/>
        <color theme="1"/>
        <rFont val="Open Sans"/>
        <family val="2"/>
      </rPr>
      <t>1</t>
    </r>
    <r>
      <rPr>
        <sz val="11"/>
        <color theme="1"/>
        <rFont val="Open Sans"/>
        <family val="2"/>
      </rPr>
      <t xml:space="preserve"> Data provided by Northern Water (light green highlighted communities) are 2014 - 2023 averages.</t>
    </r>
  </si>
  <si>
    <r>
      <rPr>
        <vertAlign val="superscript"/>
        <sz val="11"/>
        <color theme="1"/>
        <rFont val="Open Sans"/>
        <family val="2"/>
      </rPr>
      <t>2</t>
    </r>
    <r>
      <rPr>
        <sz val="11"/>
        <color theme="1"/>
        <rFont val="Open Sans"/>
        <family val="2"/>
      </rPr>
      <t xml:space="preserve"> ETo = Cool season turf evapotranspiration (reference crop)</t>
    </r>
  </si>
  <si>
    <t>Enter ETo and Precipitation data for other communities in the "OTHER" row.</t>
  </si>
  <si>
    <t>Version 1.0  06/27/2024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</si>
</sst>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0.0_);\(#,##0.0\)"/>
  </numFmts>
  <fonts count="16" x14ac:knownFonts="1">
    <font>
      <sz val="11"/>
      <color theme="1"/>
      <name val="Calibri"/>
      <family val="2"/>
      <scheme val="minor"/>
    </font>
    <font>
      <sz val="11"/>
      <color theme="1"/>
      <name val="Calibri"/>
      <family val="2"/>
      <scheme val="minor"/>
    </font>
    <font>
      <sz val="10"/>
      <color rgb="FF000000"/>
      <name val="Calibri"/>
      <family val="2"/>
      <scheme val="minor"/>
    </font>
    <font>
      <sz val="11"/>
      <color indexed="8"/>
      <name val="Calibri"/>
      <family val="2"/>
      <scheme val="minor"/>
    </font>
    <font>
      <u/>
      <sz val="11"/>
      <color theme="10"/>
      <name val="Calibri"/>
      <family val="2"/>
      <scheme val="minor"/>
    </font>
    <font>
      <sz val="11"/>
      <color theme="1"/>
      <name val="Open Sans"/>
      <family val="2"/>
    </font>
    <font>
      <i/>
      <sz val="11"/>
      <color theme="1"/>
      <name val="Open Sans"/>
      <family val="2"/>
    </font>
    <font>
      <b/>
      <u/>
      <sz val="11"/>
      <color theme="10"/>
      <name val="Open Sans"/>
      <family val="2"/>
    </font>
    <font>
      <b/>
      <sz val="11"/>
      <color theme="1"/>
      <name val="Open Sans"/>
      <family val="2"/>
    </font>
    <font>
      <u/>
      <sz val="11"/>
      <color theme="1"/>
      <name val="Open Sans"/>
      <family val="2"/>
    </font>
    <font>
      <b/>
      <u/>
      <sz val="11"/>
      <color theme="1"/>
      <name val="Open Sans"/>
      <family val="2"/>
    </font>
    <font>
      <b/>
      <i/>
      <sz val="11"/>
      <color theme="1"/>
      <name val="Open Sans"/>
      <family val="2"/>
    </font>
    <font>
      <b/>
      <sz val="12"/>
      <color theme="1"/>
      <name val="Open Sans"/>
      <family val="2"/>
    </font>
    <font>
      <sz val="12"/>
      <color theme="1"/>
      <name val="Open Sans"/>
      <family val="2"/>
    </font>
    <font>
      <vertAlign val="superscript"/>
      <sz val="11"/>
      <color theme="1"/>
      <name val="Open Sans"/>
      <family val="2"/>
    </font>
    <font>
      <b/>
      <vertAlign val="superscript"/>
      <sz val="11"/>
      <color theme="1"/>
      <name val="Open Sans"/>
      <family val="2"/>
    </font>
  </fonts>
  <fills count="16">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rgb="FFFFA48F"/>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rgb="FF00D7B4"/>
        <bgColor indexed="64"/>
      </patternFill>
    </fill>
    <fill>
      <patternFill patternType="solid">
        <fgColor rgb="FFC7B1E6"/>
        <bgColor indexed="64"/>
      </patternFill>
    </fill>
  </fills>
  <borders count="53">
    <border>
      <left/>
      <right/>
      <top/>
      <bottom/>
      <diagonal/>
    </border>
    <border>
      <left/>
      <right/>
      <top/>
      <bottom style="medium">
        <color indexed="64"/>
      </bottom>
      <diagonal/>
    </border>
    <border>
      <left/>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rgb="FF000000"/>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double">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medium">
        <color indexed="64"/>
      </top>
      <bottom/>
      <diagonal/>
    </border>
    <border>
      <left style="medium">
        <color indexed="64"/>
      </left>
      <right style="double">
        <color indexed="64"/>
      </right>
      <top style="thin">
        <color indexed="64"/>
      </top>
      <bottom/>
      <diagonal/>
    </border>
    <border>
      <left style="medium">
        <color indexed="64"/>
      </left>
      <right/>
      <top style="medium">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
    <xf numFmtId="0" fontId="0" fillId="0" borderId="0"/>
    <xf numFmtId="9" fontId="1" fillId="0" borderId="0" applyFont="0" applyFill="0" applyBorder="0" applyAlignment="0" applyProtection="0"/>
    <xf numFmtId="43" fontId="1" fillId="0" borderId="0" applyFont="0" applyFill="0" applyBorder="0" applyAlignment="0" applyProtection="0"/>
    <xf numFmtId="0" fontId="2" fillId="0" borderId="0"/>
    <xf numFmtId="0" fontId="3" fillId="0" borderId="0"/>
    <xf numFmtId="0" fontId="4" fillId="0" borderId="0" applyNumberFormat="0" applyFill="0" applyBorder="0" applyAlignment="0" applyProtection="0"/>
  </cellStyleXfs>
  <cellXfs count="271">
    <xf numFmtId="0" fontId="0" fillId="0" borderId="0" xfId="0"/>
    <xf numFmtId="0" fontId="5" fillId="0" borderId="0" xfId="0" applyFont="1"/>
    <xf numFmtId="15" fontId="5" fillId="0" borderId="0" xfId="0" applyNumberFormat="1" applyFont="1"/>
    <xf numFmtId="0" fontId="8" fillId="0" borderId="0" xfId="0" applyFont="1"/>
    <xf numFmtId="0" fontId="8" fillId="14" borderId="46" xfId="0" applyFont="1" applyFill="1" applyBorder="1"/>
    <xf numFmtId="0" fontId="8" fillId="14" borderId="48" xfId="0" applyFont="1" applyFill="1" applyBorder="1"/>
    <xf numFmtId="0" fontId="8" fillId="14" borderId="49" xfId="0" applyFont="1" applyFill="1" applyBorder="1"/>
    <xf numFmtId="0" fontId="8" fillId="14" borderId="7" xfId="0" applyFont="1" applyFill="1" applyBorder="1"/>
    <xf numFmtId="0" fontId="8" fillId="14" borderId="2" xfId="0" applyFont="1" applyFill="1" applyBorder="1"/>
    <xf numFmtId="0" fontId="8" fillId="14" borderId="11" xfId="0" applyFont="1" applyFill="1" applyBorder="1"/>
    <xf numFmtId="0" fontId="5" fillId="0" borderId="5" xfId="0" applyFont="1" applyBorder="1" applyAlignment="1">
      <alignment horizontal="center"/>
    </xf>
    <xf numFmtId="0" fontId="5" fillId="0" borderId="4" xfId="0" applyFont="1" applyBorder="1"/>
    <xf numFmtId="0" fontId="5" fillId="0" borderId="6" xfId="0" applyFont="1" applyBorder="1" applyAlignment="1">
      <alignment horizontal="center"/>
    </xf>
    <xf numFmtId="0" fontId="5" fillId="0" borderId="1" xfId="0" applyFont="1" applyBorder="1"/>
    <xf numFmtId="0" fontId="5" fillId="0" borderId="3" xfId="0" applyFont="1" applyBorder="1"/>
    <xf numFmtId="0" fontId="5" fillId="0" borderId="0" xfId="0" applyFont="1" applyAlignment="1">
      <alignment horizontal="center"/>
    </xf>
    <xf numFmtId="0" fontId="7" fillId="14" borderId="0" xfId="5" applyFont="1" applyFill="1" applyBorder="1" applyAlignment="1"/>
    <xf numFmtId="0" fontId="7" fillId="14" borderId="39" xfId="5" applyFont="1" applyFill="1" applyBorder="1" applyAlignment="1"/>
    <xf numFmtId="0" fontId="7" fillId="14" borderId="45" xfId="5" applyFont="1" applyFill="1" applyBorder="1" applyAlignment="1"/>
    <xf numFmtId="0" fontId="8" fillId="14" borderId="32" xfId="0" applyFont="1" applyFill="1" applyBorder="1"/>
    <xf numFmtId="0" fontId="7" fillId="14" borderId="31" xfId="5" applyFont="1" applyFill="1" applyBorder="1" applyAlignment="1"/>
    <xf numFmtId="0" fontId="8" fillId="14" borderId="31" xfId="0" applyFont="1" applyFill="1" applyBorder="1"/>
    <xf numFmtId="0" fontId="8" fillId="14" borderId="47" xfId="0" applyFont="1" applyFill="1" applyBorder="1"/>
    <xf numFmtId="0" fontId="5" fillId="0" borderId="0" xfId="0" applyFont="1" applyAlignment="1">
      <alignment wrapText="1"/>
    </xf>
    <xf numFmtId="0" fontId="8" fillId="0" borderId="15" xfId="0" applyFont="1" applyBorder="1" applyAlignment="1">
      <alignment horizontal="center" wrapText="1"/>
    </xf>
    <xf numFmtId="0" fontId="8" fillId="0" borderId="14" xfId="0" applyFont="1" applyBorder="1" applyAlignment="1">
      <alignment horizontal="center"/>
    </xf>
    <xf numFmtId="0" fontId="8" fillId="0" borderId="0" xfId="0" applyFont="1" applyAlignment="1">
      <alignment horizontal="center"/>
    </xf>
    <xf numFmtId="0" fontId="5" fillId="0" borderId="16" xfId="0" applyFont="1" applyBorder="1" applyAlignment="1">
      <alignment wrapText="1"/>
    </xf>
    <xf numFmtId="37" fontId="5" fillId="0" borderId="15" xfId="0" applyNumberFormat="1" applyFont="1" applyBorder="1" applyAlignment="1">
      <alignment horizontal="center" wrapText="1"/>
    </xf>
    <xf numFmtId="166" fontId="5" fillId="0" borderId="14" xfId="0" applyNumberFormat="1" applyFont="1" applyBorder="1" applyAlignment="1">
      <alignment horizontal="center" wrapText="1"/>
    </xf>
    <xf numFmtId="37" fontId="5" fillId="0" borderId="0" xfId="0" applyNumberFormat="1" applyFont="1" applyAlignment="1">
      <alignment horizontal="center" wrapText="1"/>
    </xf>
    <xf numFmtId="164" fontId="5" fillId="0" borderId="0" xfId="0" applyNumberFormat="1" applyFont="1" applyAlignment="1">
      <alignment horizontal="center" wrapText="1"/>
    </xf>
    <xf numFmtId="0" fontId="5" fillId="0" borderId="16" xfId="0" applyFont="1" applyBorder="1" applyAlignment="1">
      <alignment horizontal="left" wrapText="1"/>
    </xf>
    <xf numFmtId="0" fontId="5" fillId="0" borderId="40" xfId="0" applyFont="1" applyBorder="1" applyAlignment="1">
      <alignment horizontal="left" wrapText="1"/>
    </xf>
    <xf numFmtId="0" fontId="5" fillId="0" borderId="0" xfId="0" applyFont="1" applyAlignment="1">
      <alignment horizontal="left" wrapText="1"/>
    </xf>
    <xf numFmtId="0" fontId="5" fillId="0" borderId="0" xfId="0" applyFont="1" applyAlignment="1">
      <alignment horizontal="center" wrapText="1"/>
    </xf>
    <xf numFmtId="165" fontId="5" fillId="0" borderId="0" xfId="0" applyNumberFormat="1" applyFont="1" applyAlignment="1">
      <alignment wrapText="1"/>
    </xf>
    <xf numFmtId="9" fontId="5" fillId="0" borderId="0" xfId="1" applyFont="1" applyFill="1" applyBorder="1" applyAlignment="1">
      <alignment horizontal="center" wrapText="1"/>
    </xf>
    <xf numFmtId="165" fontId="5" fillId="0" borderId="0" xfId="2" applyNumberFormat="1" applyFont="1" applyFill="1" applyBorder="1" applyAlignment="1">
      <alignment horizontal="center" wrapText="1"/>
    </xf>
    <xf numFmtId="0" fontId="5" fillId="0" borderId="0" xfId="0" applyFont="1" applyAlignment="1">
      <alignment horizontal="right"/>
    </xf>
    <xf numFmtId="0" fontId="5" fillId="0" borderId="0" xfId="0" applyFont="1" applyAlignment="1">
      <alignment horizontal="left"/>
    </xf>
    <xf numFmtId="0" fontId="6" fillId="7" borderId="30" xfId="0" applyFont="1" applyFill="1" applyBorder="1" applyAlignment="1">
      <alignment horizontal="left" vertical="center" wrapText="1"/>
    </xf>
    <xf numFmtId="0" fontId="5" fillId="0" borderId="28" xfId="0" applyFont="1" applyBorder="1" applyAlignment="1">
      <alignment horizontal="center" wrapText="1"/>
    </xf>
    <xf numFmtId="2" fontId="5" fillId="0" borderId="0" xfId="0" applyNumberFormat="1" applyFont="1" applyAlignment="1">
      <alignment horizontal="center" vertical="center"/>
    </xf>
    <xf numFmtId="3" fontId="5" fillId="0" borderId="0" xfId="0" applyNumberFormat="1" applyFont="1" applyAlignment="1">
      <alignment horizontal="center"/>
    </xf>
    <xf numFmtId="3" fontId="5" fillId="0" borderId="0" xfId="0" applyNumberFormat="1" applyFont="1" applyAlignment="1">
      <alignment horizontal="center" vertical="center"/>
    </xf>
    <xf numFmtId="9" fontId="5" fillId="0" borderId="0" xfId="0" applyNumberFormat="1" applyFont="1" applyAlignment="1">
      <alignment horizontal="center" vertical="center"/>
    </xf>
    <xf numFmtId="0" fontId="5" fillId="0" borderId="0" xfId="0" applyFont="1" applyAlignment="1">
      <alignment horizontal="center" vertical="center"/>
    </xf>
    <xf numFmtId="9" fontId="5" fillId="0" borderId="0" xfId="1" applyFont="1" applyFill="1" applyBorder="1" applyAlignment="1">
      <alignment horizontal="center" vertical="center"/>
    </xf>
    <xf numFmtId="0" fontId="6" fillId="7" borderId="37" xfId="0" applyFont="1" applyFill="1" applyBorder="1" applyAlignment="1">
      <alignment horizontal="left" wrapText="1"/>
    </xf>
    <xf numFmtId="0" fontId="5" fillId="6" borderId="32" xfId="0" applyFont="1" applyFill="1" applyBorder="1" applyAlignment="1">
      <alignment horizontal="center" wrapText="1"/>
    </xf>
    <xf numFmtId="9" fontId="5" fillId="0" borderId="0" xfId="1" applyFont="1" applyBorder="1" applyAlignment="1">
      <alignment horizontal="center"/>
    </xf>
    <xf numFmtId="0" fontId="5" fillId="0" borderId="4" xfId="0" applyFont="1" applyBorder="1" applyAlignment="1">
      <alignment horizontal="left"/>
    </xf>
    <xf numFmtId="0" fontId="6" fillId="7" borderId="30" xfId="0" applyFont="1" applyFill="1" applyBorder="1" applyAlignment="1">
      <alignment horizontal="left"/>
    </xf>
    <xf numFmtId="4" fontId="5" fillId="0" borderId="33" xfId="0" applyNumberFormat="1" applyFont="1" applyBorder="1" applyAlignment="1">
      <alignment horizontal="center" wrapText="1"/>
    </xf>
    <xf numFmtId="0" fontId="6" fillId="7" borderId="15" xfId="0" applyFont="1" applyFill="1" applyBorder="1" applyAlignment="1">
      <alignment horizontal="left"/>
    </xf>
    <xf numFmtId="4" fontId="5" fillId="0" borderId="14" xfId="0" applyNumberFormat="1" applyFont="1" applyBorder="1" applyAlignment="1">
      <alignment horizontal="center"/>
    </xf>
    <xf numFmtId="0" fontId="5" fillId="6" borderId="33" xfId="0" applyFont="1" applyFill="1" applyBorder="1" applyAlignment="1">
      <alignment horizontal="center" wrapText="1"/>
    </xf>
    <xf numFmtId="0" fontId="5" fillId="6" borderId="14" xfId="0" applyFont="1" applyFill="1" applyBorder="1" applyAlignment="1">
      <alignment horizontal="center" wrapText="1"/>
    </xf>
    <xf numFmtId="0" fontId="5" fillId="6" borderId="33" xfId="0" applyFont="1" applyFill="1" applyBorder="1" applyAlignment="1">
      <alignment horizontal="center"/>
    </xf>
    <xf numFmtId="0" fontId="5" fillId="6" borderId="14" xfId="0" applyFont="1" applyFill="1" applyBorder="1" applyAlignment="1">
      <alignment horizontal="center"/>
    </xf>
    <xf numFmtId="0" fontId="5" fillId="6" borderId="35" xfId="0" applyFont="1" applyFill="1" applyBorder="1" applyAlignment="1">
      <alignment horizontal="center"/>
    </xf>
    <xf numFmtId="0" fontId="5" fillId="0" borderId="5" xfId="0" applyFont="1" applyBorder="1" applyAlignment="1">
      <alignment horizontal="left"/>
    </xf>
    <xf numFmtId="0" fontId="5" fillId="0" borderId="1" xfId="0" applyFont="1" applyBorder="1" applyAlignment="1">
      <alignment horizontal="left"/>
    </xf>
    <xf numFmtId="9" fontId="5" fillId="0" borderId="1" xfId="1" applyFont="1" applyBorder="1" applyAlignment="1">
      <alignment horizontal="center"/>
    </xf>
    <xf numFmtId="0" fontId="5" fillId="0" borderId="1" xfId="0" applyFont="1" applyBorder="1" applyAlignment="1">
      <alignment horizontal="center"/>
    </xf>
    <xf numFmtId="0" fontId="5" fillId="0" borderId="3" xfId="0" applyFont="1" applyBorder="1" applyAlignment="1">
      <alignment horizontal="left"/>
    </xf>
    <xf numFmtId="0" fontId="5" fillId="0" borderId="7" xfId="0" applyFont="1" applyBorder="1" applyAlignment="1">
      <alignment horizontal="left"/>
    </xf>
    <xf numFmtId="0" fontId="6" fillId="7" borderId="28" xfId="0" applyFont="1" applyFill="1" applyBorder="1" applyAlignment="1">
      <alignment horizontal="left"/>
    </xf>
    <xf numFmtId="0" fontId="5" fillId="0" borderId="6" xfId="0" applyFont="1" applyBorder="1" applyAlignment="1">
      <alignment horizontal="left"/>
    </xf>
    <xf numFmtId="4" fontId="5" fillId="11" borderId="0" xfId="0" applyNumberFormat="1" applyFont="1" applyFill="1" applyAlignment="1">
      <alignment horizontal="center"/>
    </xf>
    <xf numFmtId="0" fontId="6" fillId="7" borderId="13" xfId="0" applyFont="1" applyFill="1" applyBorder="1" applyAlignment="1">
      <alignment horizontal="left"/>
    </xf>
    <xf numFmtId="0" fontId="5" fillId="6" borderId="12" xfId="0" applyFont="1" applyFill="1" applyBorder="1" applyAlignment="1">
      <alignment horizontal="center" wrapText="1"/>
    </xf>
    <xf numFmtId="0" fontId="8" fillId="0" borderId="1" xfId="0" applyFont="1" applyBorder="1" applyAlignment="1">
      <alignment horizontal="center"/>
    </xf>
    <xf numFmtId="3" fontId="8" fillId="0" borderId="1" xfId="0" applyNumberFormat="1" applyFont="1" applyBorder="1" applyAlignment="1">
      <alignment horizontal="center"/>
    </xf>
    <xf numFmtId="0" fontId="5" fillId="0" borderId="1" xfId="0" applyFont="1" applyBorder="1" applyAlignment="1">
      <alignment horizontal="center" wrapText="1"/>
    </xf>
    <xf numFmtId="0" fontId="5" fillId="0" borderId="3" xfId="0" applyFont="1" applyBorder="1" applyAlignment="1">
      <alignment horizontal="center"/>
    </xf>
    <xf numFmtId="0" fontId="12" fillId="4" borderId="9" xfId="0" applyFont="1" applyFill="1" applyBorder="1" applyAlignment="1">
      <alignment horizontal="center" vertical="center" wrapText="1"/>
    </xf>
    <xf numFmtId="0" fontId="12" fillId="4" borderId="10" xfId="0" applyFont="1" applyFill="1" applyBorder="1" applyAlignment="1">
      <alignment horizontal="center" vertical="center" wrapText="1"/>
    </xf>
    <xf numFmtId="3" fontId="8" fillId="0" borderId="23" xfId="0" applyNumberFormat="1" applyFont="1" applyBorder="1"/>
    <xf numFmtId="0" fontId="8" fillId="0" borderId="1" xfId="0" quotePrefix="1" applyFont="1" applyBorder="1"/>
    <xf numFmtId="0" fontId="8" fillId="0" borderId="0" xfId="0" applyFont="1" applyAlignment="1">
      <alignment horizontal="right"/>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2" borderId="9"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3" borderId="1" xfId="0" applyFont="1" applyFill="1" applyBorder="1" applyAlignment="1">
      <alignment horizontal="center" vertical="center"/>
    </xf>
    <xf numFmtId="0" fontId="12" fillId="4" borderId="9" xfId="0" applyFont="1" applyFill="1" applyBorder="1" applyAlignment="1">
      <alignment horizontal="center" vertical="center"/>
    </xf>
    <xf numFmtId="0" fontId="12" fillId="4" borderId="8" xfId="0" applyFont="1" applyFill="1" applyBorder="1" applyAlignment="1">
      <alignment horizontal="center" vertical="center"/>
    </xf>
    <xf numFmtId="0" fontId="12" fillId="4" borderId="10" xfId="0" applyFont="1" applyFill="1" applyBorder="1" applyAlignment="1">
      <alignment horizontal="center" vertical="center"/>
    </xf>
    <xf numFmtId="0" fontId="12" fillId="4" borderId="9" xfId="0" applyFont="1" applyFill="1" applyBorder="1" applyAlignment="1">
      <alignment horizontal="center" wrapText="1"/>
    </xf>
    <xf numFmtId="0" fontId="12" fillId="4" borderId="1" xfId="0" applyFont="1" applyFill="1" applyBorder="1" applyAlignment="1">
      <alignment horizontal="center" wrapText="1"/>
    </xf>
    <xf numFmtId="0" fontId="12" fillId="4" borderId="10" xfId="0" applyFont="1" applyFill="1" applyBorder="1" applyAlignment="1">
      <alignment horizontal="center" wrapText="1"/>
    </xf>
    <xf numFmtId="0" fontId="12" fillId="4" borderId="25" xfId="0" applyFont="1" applyFill="1" applyBorder="1" applyAlignment="1">
      <alignment horizontal="center" wrapText="1"/>
    </xf>
    <xf numFmtId="0" fontId="12" fillId="0" borderId="0" xfId="0" applyFont="1" applyAlignment="1">
      <alignment horizontal="center" wrapText="1"/>
    </xf>
    <xf numFmtId="0" fontId="12" fillId="0" borderId="15" xfId="0" applyFont="1" applyBorder="1" applyAlignment="1">
      <alignment horizontal="center" wrapText="1"/>
    </xf>
    <xf numFmtId="0" fontId="12" fillId="0" borderId="15" xfId="0" applyFont="1" applyBorder="1" applyAlignment="1">
      <alignment horizontal="center"/>
    </xf>
    <xf numFmtId="0" fontId="12" fillId="0" borderId="0" xfId="0" applyFont="1" applyAlignment="1">
      <alignment horizontal="center"/>
    </xf>
    <xf numFmtId="0" fontId="5" fillId="10" borderId="2" xfId="0" applyFont="1" applyFill="1" applyBorder="1" applyAlignment="1">
      <alignment horizontal="center"/>
    </xf>
    <xf numFmtId="0" fontId="5" fillId="10" borderId="2" xfId="0" applyFont="1" applyFill="1" applyBorder="1" applyAlignment="1">
      <alignment horizontal="center" wrapText="1"/>
    </xf>
    <xf numFmtId="164" fontId="5" fillId="10" borderId="2" xfId="0" applyNumberFormat="1" applyFont="1" applyFill="1" applyBorder="1" applyAlignment="1">
      <alignment horizontal="center"/>
    </xf>
    <xf numFmtId="9" fontId="5" fillId="10" borderId="2" xfId="0" applyNumberFormat="1" applyFont="1" applyFill="1" applyBorder="1" applyAlignment="1">
      <alignment horizontal="center"/>
    </xf>
    <xf numFmtId="3" fontId="5" fillId="10" borderId="7" xfId="0" applyNumberFormat="1" applyFont="1" applyFill="1" applyBorder="1" applyAlignment="1">
      <alignment horizontal="center"/>
    </xf>
    <xf numFmtId="3" fontId="5" fillId="10" borderId="2" xfId="0" applyNumberFormat="1" applyFont="1" applyFill="1" applyBorder="1" applyAlignment="1">
      <alignment horizontal="center"/>
    </xf>
    <xf numFmtId="3" fontId="5" fillId="10" borderId="11" xfId="0" applyNumberFormat="1" applyFont="1" applyFill="1" applyBorder="1" applyAlignment="1">
      <alignment horizontal="center"/>
    </xf>
    <xf numFmtId="3" fontId="5" fillId="10" borderId="5" xfId="0" applyNumberFormat="1" applyFont="1" applyFill="1" applyBorder="1" applyAlignment="1">
      <alignment horizontal="center"/>
    </xf>
    <xf numFmtId="3" fontId="5" fillId="10" borderId="0" xfId="0" applyNumberFormat="1" applyFont="1" applyFill="1" applyAlignment="1">
      <alignment horizontal="center"/>
    </xf>
    <xf numFmtId="3" fontId="13" fillId="10" borderId="2" xfId="0" applyNumberFormat="1" applyFont="1" applyFill="1" applyBorder="1" applyAlignment="1">
      <alignment horizontal="center" vertical="center"/>
    </xf>
    <xf numFmtId="9" fontId="12" fillId="10" borderId="2" xfId="0" applyNumberFormat="1" applyFont="1" applyFill="1" applyBorder="1" applyAlignment="1">
      <alignment horizontal="center" vertical="center"/>
    </xf>
    <xf numFmtId="3" fontId="5" fillId="0" borderId="2" xfId="0" applyNumberFormat="1" applyFont="1" applyBorder="1" applyAlignment="1">
      <alignment vertical="center"/>
    </xf>
    <xf numFmtId="3" fontId="5" fillId="0" borderId="11" xfId="0" applyNumberFormat="1" applyFont="1" applyBorder="1" applyAlignment="1">
      <alignment vertical="center"/>
    </xf>
    <xf numFmtId="9" fontId="5" fillId="0" borderId="24" xfId="1" applyFont="1" applyBorder="1" applyAlignment="1">
      <alignment vertical="center"/>
    </xf>
    <xf numFmtId="9" fontId="5" fillId="0" borderId="0" xfId="1" applyFont="1" applyAlignment="1">
      <alignment horizontal="left"/>
    </xf>
    <xf numFmtId="0" fontId="5" fillId="0" borderId="15" xfId="0" applyFont="1" applyBorder="1" applyAlignment="1">
      <alignment horizontal="left"/>
    </xf>
    <xf numFmtId="3" fontId="5" fillId="0" borderId="15" xfId="0" applyNumberFormat="1" applyFont="1" applyBorder="1" applyAlignment="1">
      <alignment horizontal="center"/>
    </xf>
    <xf numFmtId="9" fontId="5" fillId="0" borderId="0" xfId="0" applyNumberFormat="1" applyFont="1" applyAlignment="1">
      <alignment horizontal="center"/>
    </xf>
    <xf numFmtId="3" fontId="5" fillId="0" borderId="5" xfId="0" applyNumberFormat="1" applyFont="1" applyBorder="1" applyAlignment="1">
      <alignment horizontal="center"/>
    </xf>
    <xf numFmtId="3" fontId="5" fillId="0" borderId="4" xfId="0" applyNumberFormat="1" applyFont="1" applyBorder="1" applyAlignment="1">
      <alignment horizontal="center"/>
    </xf>
    <xf numFmtId="3" fontId="13" fillId="0" borderId="0" xfId="0" applyNumberFormat="1" applyFont="1" applyAlignment="1">
      <alignment horizontal="center" vertical="center"/>
    </xf>
    <xf numFmtId="9" fontId="12" fillId="0" borderId="0" xfId="0" applyNumberFormat="1" applyFont="1" applyAlignment="1">
      <alignment horizontal="center" vertical="center"/>
    </xf>
    <xf numFmtId="9" fontId="5" fillId="0" borderId="15" xfId="1" applyFont="1" applyBorder="1" applyAlignment="1">
      <alignment horizontal="center"/>
    </xf>
    <xf numFmtId="0" fontId="5" fillId="0" borderId="27" xfId="0" applyFont="1" applyBorder="1" applyAlignment="1">
      <alignment horizontal="center"/>
    </xf>
    <xf numFmtId="9" fontId="5" fillId="0" borderId="27" xfId="0" applyNumberFormat="1" applyFont="1" applyBorder="1" applyAlignment="1">
      <alignment horizontal="center"/>
    </xf>
    <xf numFmtId="3" fontId="5" fillId="0" borderId="6" xfId="0" applyNumberFormat="1" applyFont="1" applyBorder="1" applyAlignment="1">
      <alignment horizontal="center"/>
    </xf>
    <xf numFmtId="3" fontId="5" fillId="0" borderId="1" xfId="0" applyNumberFormat="1" applyFont="1" applyBorder="1" applyAlignment="1">
      <alignment horizontal="center"/>
    </xf>
    <xf numFmtId="3" fontId="5" fillId="0" borderId="3" xfId="0" applyNumberFormat="1" applyFont="1" applyBorder="1" applyAlignment="1">
      <alignment horizontal="center"/>
    </xf>
    <xf numFmtId="3" fontId="13" fillId="0" borderId="1" xfId="0" applyNumberFormat="1" applyFont="1" applyBorder="1" applyAlignment="1">
      <alignment horizontal="center" vertical="center"/>
    </xf>
    <xf numFmtId="9" fontId="12" fillId="0" borderId="1" xfId="0" applyNumberFormat="1" applyFont="1" applyBorder="1" applyAlignment="1">
      <alignment horizontal="center" vertical="center"/>
    </xf>
    <xf numFmtId="3" fontId="5" fillId="0" borderId="0" xfId="0" applyNumberFormat="1" applyFont="1" applyAlignment="1">
      <alignment horizontal="left"/>
    </xf>
    <xf numFmtId="0" fontId="5" fillId="0" borderId="15" xfId="0" applyFont="1" applyBorder="1"/>
    <xf numFmtId="0" fontId="8" fillId="0" borderId="15" xfId="0" applyFont="1" applyBorder="1"/>
    <xf numFmtId="0" fontId="5" fillId="13" borderId="15" xfId="0" applyFont="1" applyFill="1" applyBorder="1"/>
    <xf numFmtId="2" fontId="5" fillId="0" borderId="15" xfId="0" applyNumberFormat="1" applyFont="1" applyBorder="1" applyAlignment="1">
      <alignment horizontal="center" vertical="center"/>
    </xf>
    <xf numFmtId="2" fontId="5" fillId="0" borderId="15" xfId="0" applyNumberFormat="1" applyFont="1" applyBorder="1" applyAlignment="1">
      <alignment horizontal="center"/>
    </xf>
    <xf numFmtId="2" fontId="5" fillId="0" borderId="15" xfId="0" applyNumberFormat="1" applyFont="1" applyBorder="1"/>
    <xf numFmtId="4" fontId="5" fillId="0" borderId="15" xfId="0" applyNumberFormat="1" applyFont="1" applyBorder="1"/>
    <xf numFmtId="2" fontId="5" fillId="0" borderId="15" xfId="3" applyNumberFormat="1" applyFont="1" applyBorder="1"/>
    <xf numFmtId="2" fontId="5" fillId="0" borderId="0" xfId="0" applyNumberFormat="1" applyFont="1"/>
    <xf numFmtId="0" fontId="5" fillId="12" borderId="15" xfId="0" applyFont="1" applyFill="1" applyBorder="1"/>
    <xf numFmtId="0" fontId="5" fillId="0" borderId="5" xfId="0" applyFont="1" applyBorder="1"/>
    <xf numFmtId="0" fontId="5" fillId="0" borderId="6" xfId="0" applyFont="1" applyBorder="1"/>
    <xf numFmtId="0" fontId="5" fillId="14" borderId="2" xfId="0" applyFont="1" applyFill="1" applyBorder="1"/>
    <xf numFmtId="0" fontId="5" fillId="14" borderId="11" xfId="0" applyFont="1" applyFill="1" applyBorder="1"/>
    <xf numFmtId="0" fontId="8" fillId="14" borderId="7" xfId="0" applyFont="1" applyFill="1" applyBorder="1" applyAlignment="1">
      <alignment horizontal="left"/>
    </xf>
    <xf numFmtId="0" fontId="5" fillId="14" borderId="2" xfId="0" applyFont="1" applyFill="1" applyBorder="1" applyAlignment="1">
      <alignment horizontal="left"/>
    </xf>
    <xf numFmtId="0" fontId="8" fillId="14" borderId="2" xfId="0" applyFont="1" applyFill="1" applyBorder="1" applyAlignment="1">
      <alignment horizontal="center" wrapText="1"/>
    </xf>
    <xf numFmtId="0" fontId="8" fillId="14" borderId="2" xfId="0" applyFont="1" applyFill="1" applyBorder="1" applyAlignment="1">
      <alignment horizontal="center"/>
    </xf>
    <xf numFmtId="0" fontId="5" fillId="14" borderId="11" xfId="0" applyFont="1" applyFill="1" applyBorder="1" applyAlignment="1">
      <alignment horizontal="left"/>
    </xf>
    <xf numFmtId="0" fontId="6" fillId="5" borderId="50" xfId="0" applyFont="1" applyFill="1" applyBorder="1" applyAlignment="1">
      <alignment horizontal="center"/>
    </xf>
    <xf numFmtId="0" fontId="5" fillId="8" borderId="50" xfId="0" applyFont="1" applyFill="1" applyBorder="1" applyAlignment="1">
      <alignment horizontal="center"/>
    </xf>
    <xf numFmtId="0" fontId="6" fillId="5" borderId="51" xfId="0" applyFont="1" applyFill="1" applyBorder="1" applyAlignment="1">
      <alignment horizontal="center"/>
    </xf>
    <xf numFmtId="0" fontId="5" fillId="8" borderId="51" xfId="0" applyFont="1" applyFill="1" applyBorder="1"/>
    <xf numFmtId="0" fontId="6" fillId="0" borderId="51" xfId="0" applyFont="1" applyBorder="1" applyAlignment="1">
      <alignment horizontal="left"/>
    </xf>
    <xf numFmtId="0" fontId="6" fillId="0" borderId="16" xfId="0" applyFont="1" applyBorder="1" applyAlignment="1">
      <alignment horizontal="center"/>
    </xf>
    <xf numFmtId="0" fontId="6" fillId="0" borderId="15" xfId="0" applyFont="1" applyBorder="1" applyAlignment="1">
      <alignment horizontal="center"/>
    </xf>
    <xf numFmtId="0" fontId="6" fillId="0" borderId="14" xfId="0" applyFont="1" applyBorder="1" applyAlignment="1">
      <alignment horizontal="center"/>
    </xf>
    <xf numFmtId="0" fontId="6" fillId="8" borderId="51" xfId="0" applyFont="1" applyFill="1" applyBorder="1" applyAlignment="1">
      <alignment horizontal="center"/>
    </xf>
    <xf numFmtId="0" fontId="5" fillId="0" borderId="51" xfId="0" applyFont="1" applyBorder="1"/>
    <xf numFmtId="0" fontId="5" fillId="0" borderId="16" xfId="0" applyFont="1" applyBorder="1" applyAlignment="1">
      <alignment horizontal="center"/>
    </xf>
    <xf numFmtId="0" fontId="5" fillId="0" borderId="15" xfId="0" applyFont="1" applyBorder="1" applyAlignment="1">
      <alignment horizontal="center"/>
    </xf>
    <xf numFmtId="0" fontId="5" fillId="0" borderId="14" xfId="0" applyFont="1" applyBorder="1" applyAlignment="1">
      <alignment horizontal="center"/>
    </xf>
    <xf numFmtId="0" fontId="5" fillId="8" borderId="51" xfId="0" applyFont="1" applyFill="1" applyBorder="1" applyAlignment="1">
      <alignment horizontal="center"/>
    </xf>
    <xf numFmtId="0" fontId="5" fillId="0" borderId="52" xfId="0" applyFont="1" applyBorder="1"/>
    <xf numFmtId="0" fontId="5" fillId="0" borderId="40" xfId="0" applyFont="1" applyBorder="1" applyAlignment="1">
      <alignment horizontal="center"/>
    </xf>
    <xf numFmtId="0" fontId="5" fillId="0" borderId="13" xfId="0" applyFont="1" applyBorder="1" applyAlignment="1">
      <alignment horizontal="center"/>
    </xf>
    <xf numFmtId="0" fontId="5" fillId="0" borderId="12" xfId="0" applyFont="1" applyBorder="1" applyAlignment="1">
      <alignment horizontal="center"/>
    </xf>
    <xf numFmtId="0" fontId="5" fillId="8" borderId="52" xfId="0" applyFont="1" applyFill="1" applyBorder="1" applyAlignment="1">
      <alignment horizontal="center"/>
    </xf>
    <xf numFmtId="0" fontId="6" fillId="9" borderId="16" xfId="0" applyFont="1" applyFill="1" applyBorder="1" applyAlignment="1">
      <alignment horizontal="center"/>
    </xf>
    <xf numFmtId="0" fontId="6" fillId="9" borderId="15" xfId="0" applyFont="1" applyFill="1" applyBorder="1" applyAlignment="1">
      <alignment horizontal="center"/>
    </xf>
    <xf numFmtId="0" fontId="6" fillId="9" borderId="14" xfId="0" applyFont="1" applyFill="1" applyBorder="1" applyAlignment="1">
      <alignment horizontal="center"/>
    </xf>
    <xf numFmtId="0" fontId="6" fillId="15" borderId="16" xfId="0" applyFont="1" applyFill="1" applyBorder="1" applyAlignment="1">
      <alignment horizontal="center"/>
    </xf>
    <xf numFmtId="0" fontId="6" fillId="15" borderId="15" xfId="0" applyFont="1" applyFill="1" applyBorder="1" applyAlignment="1">
      <alignment horizontal="center"/>
    </xf>
    <xf numFmtId="0" fontId="6" fillId="15" borderId="14" xfId="0" applyFont="1" applyFill="1" applyBorder="1" applyAlignment="1">
      <alignment horizontal="center"/>
    </xf>
    <xf numFmtId="0" fontId="6" fillId="2" borderId="16" xfId="0" applyFont="1" applyFill="1" applyBorder="1" applyAlignment="1">
      <alignment horizontal="center"/>
    </xf>
    <xf numFmtId="0" fontId="6" fillId="2" borderId="15" xfId="0" applyFont="1" applyFill="1" applyBorder="1" applyAlignment="1">
      <alignment horizontal="center"/>
    </xf>
    <xf numFmtId="0" fontId="6" fillId="2" borderId="14" xfId="0" applyFont="1" applyFill="1" applyBorder="1" applyAlignment="1">
      <alignment horizontal="center"/>
    </xf>
    <xf numFmtId="0" fontId="8" fillId="0" borderId="41" xfId="0" applyFont="1" applyBorder="1"/>
    <xf numFmtId="0" fontId="5" fillId="0" borderId="39" xfId="0" applyFont="1" applyBorder="1"/>
    <xf numFmtId="0" fontId="5" fillId="0" borderId="42" xfId="0" applyFont="1" applyBorder="1"/>
    <xf numFmtId="0" fontId="9" fillId="0" borderId="5" xfId="0" applyFont="1" applyBorder="1"/>
    <xf numFmtId="0" fontId="9" fillId="0" borderId="0" xfId="0" applyFont="1"/>
    <xf numFmtId="0" fontId="9" fillId="0" borderId="4" xfId="0" applyFont="1" applyBorder="1"/>
    <xf numFmtId="0" fontId="8" fillId="14" borderId="0" xfId="0" applyFont="1" applyFill="1"/>
    <xf numFmtId="0" fontId="8" fillId="14" borderId="39" xfId="0" applyFont="1" applyFill="1" applyBorder="1"/>
    <xf numFmtId="0" fontId="5" fillId="14" borderId="45" xfId="0" applyFont="1" applyFill="1" applyBorder="1" applyAlignment="1">
      <alignment horizontal="left" vertical="top" wrapText="1"/>
    </xf>
    <xf numFmtId="0" fontId="5" fillId="14" borderId="39" xfId="0" applyFont="1" applyFill="1" applyBorder="1" applyAlignment="1">
      <alignment horizontal="left" vertical="top" wrapText="1"/>
    </xf>
    <xf numFmtId="0" fontId="5" fillId="14" borderId="31" xfId="0" applyFont="1" applyFill="1" applyBorder="1" applyAlignment="1">
      <alignment horizontal="left" vertical="top" wrapText="1"/>
    </xf>
    <xf numFmtId="0" fontId="5" fillId="14" borderId="0" xfId="0" applyFont="1" applyFill="1" applyAlignment="1">
      <alignment horizontal="left" vertical="top" wrapText="1"/>
    </xf>
    <xf numFmtId="0" fontId="5" fillId="14" borderId="47" xfId="0" applyFont="1" applyFill="1" applyBorder="1" applyAlignment="1">
      <alignment horizontal="left" vertical="top" wrapText="1"/>
    </xf>
    <xf numFmtId="0" fontId="5" fillId="14" borderId="48" xfId="0" applyFont="1" applyFill="1" applyBorder="1" applyAlignment="1">
      <alignment horizontal="left" vertical="top" wrapText="1"/>
    </xf>
    <xf numFmtId="0" fontId="5" fillId="0" borderId="0" xfId="0" quotePrefix="1" applyFont="1" applyAlignment="1">
      <alignment horizontal="left" wrapText="1"/>
    </xf>
    <xf numFmtId="0" fontId="8" fillId="14" borderId="19" xfId="0" applyFont="1" applyFill="1" applyBorder="1" applyAlignment="1">
      <alignment horizontal="center"/>
    </xf>
    <xf numFmtId="0" fontId="5" fillId="14" borderId="18" xfId="0" applyFont="1" applyFill="1" applyBorder="1" applyAlignment="1">
      <alignment horizontal="center"/>
    </xf>
    <xf numFmtId="0" fontId="5" fillId="14" borderId="17" xfId="0" applyFont="1" applyFill="1" applyBorder="1" applyAlignment="1">
      <alignment horizontal="center"/>
    </xf>
    <xf numFmtId="9" fontId="5" fillId="0" borderId="43" xfId="0" applyNumberFormat="1" applyFont="1" applyBorder="1" applyAlignment="1">
      <alignment horizontal="center" wrapText="1"/>
    </xf>
    <xf numFmtId="0" fontId="5" fillId="0" borderId="44" xfId="0" applyFont="1" applyBorder="1" applyAlignment="1">
      <alignment horizontal="center" wrapText="1"/>
    </xf>
    <xf numFmtId="0" fontId="5" fillId="0" borderId="0" xfId="0" applyFont="1" applyAlignment="1">
      <alignment horizontal="center" wrapText="1"/>
    </xf>
    <xf numFmtId="0" fontId="8" fillId="0" borderId="15" xfId="0" applyFont="1" applyBorder="1" applyAlignment="1">
      <alignment horizontal="center" wrapText="1"/>
    </xf>
    <xf numFmtId="0" fontId="5" fillId="0" borderId="14" xfId="0" applyFont="1" applyBorder="1" applyAlignment="1">
      <alignment horizontal="center" wrapText="1"/>
    </xf>
    <xf numFmtId="0" fontId="8" fillId="0" borderId="16" xfId="0" applyFont="1" applyBorder="1" applyAlignment="1">
      <alignment horizontal="center"/>
    </xf>
    <xf numFmtId="0" fontId="5" fillId="0" borderId="16" xfId="0" applyFont="1" applyBorder="1"/>
    <xf numFmtId="0" fontId="11" fillId="9" borderId="15" xfId="0" applyFont="1" applyFill="1" applyBorder="1" applyAlignment="1">
      <alignment horizontal="center"/>
    </xf>
    <xf numFmtId="0" fontId="8" fillId="9" borderId="14" xfId="0" applyFont="1" applyFill="1" applyBorder="1" applyAlignment="1">
      <alignment horizontal="center"/>
    </xf>
    <xf numFmtId="0" fontId="11" fillId="9" borderId="22" xfId="0" applyFont="1" applyFill="1" applyBorder="1" applyAlignment="1">
      <alignment horizontal="center"/>
    </xf>
    <xf numFmtId="0" fontId="11" fillId="9" borderId="29" xfId="0" applyFont="1" applyFill="1" applyBorder="1" applyAlignment="1">
      <alignment horizontal="center"/>
    </xf>
    <xf numFmtId="0" fontId="10" fillId="7" borderId="19" xfId="0" applyFont="1" applyFill="1" applyBorder="1" applyAlignment="1">
      <alignment horizontal="center" vertical="center"/>
    </xf>
    <xf numFmtId="0" fontId="10" fillId="7" borderId="18" xfId="0" applyFont="1" applyFill="1" applyBorder="1" applyAlignment="1">
      <alignment horizontal="center" vertical="center"/>
    </xf>
    <xf numFmtId="0" fontId="5" fillId="8" borderId="36" xfId="0" applyFont="1" applyFill="1" applyBorder="1" applyAlignment="1">
      <alignment horizontal="center" wrapText="1"/>
    </xf>
    <xf numFmtId="0" fontId="5" fillId="8" borderId="11" xfId="0" applyFont="1" applyFill="1" applyBorder="1" applyAlignment="1">
      <alignment horizontal="center" wrapText="1"/>
    </xf>
    <xf numFmtId="0" fontId="5" fillId="8" borderId="31" xfId="0" applyFont="1" applyFill="1" applyBorder="1" applyAlignment="1">
      <alignment horizontal="center" wrapText="1"/>
    </xf>
    <xf numFmtId="0" fontId="5" fillId="8" borderId="4" xfId="0" applyFont="1" applyFill="1" applyBorder="1" applyAlignment="1">
      <alignment horizontal="center" wrapText="1"/>
    </xf>
    <xf numFmtId="0" fontId="11" fillId="9" borderId="7" xfId="0" applyFont="1" applyFill="1" applyBorder="1" applyAlignment="1">
      <alignment horizontal="center"/>
    </xf>
    <xf numFmtId="0" fontId="8" fillId="9" borderId="2" xfId="0" applyFont="1" applyFill="1" applyBorder="1" applyAlignment="1">
      <alignment horizontal="center"/>
    </xf>
    <xf numFmtId="0" fontId="8" fillId="9" borderId="11" xfId="0" applyFont="1" applyFill="1" applyBorder="1" applyAlignment="1">
      <alignment horizontal="center"/>
    </xf>
    <xf numFmtId="0" fontId="11" fillId="9" borderId="34" xfId="0" applyFont="1" applyFill="1" applyBorder="1" applyAlignment="1">
      <alignment horizontal="center"/>
    </xf>
    <xf numFmtId="0" fontId="8" fillId="9" borderId="33" xfId="0" applyFont="1" applyFill="1" applyBorder="1" applyAlignment="1">
      <alignment horizontal="center"/>
    </xf>
    <xf numFmtId="0" fontId="11" fillId="9" borderId="33" xfId="0" applyFont="1" applyFill="1" applyBorder="1" applyAlignment="1">
      <alignment horizontal="center"/>
    </xf>
    <xf numFmtId="0" fontId="8" fillId="9" borderId="29" xfId="0" applyFont="1" applyFill="1" applyBorder="1" applyAlignment="1">
      <alignment horizontal="center"/>
    </xf>
    <xf numFmtId="0" fontId="5" fillId="11" borderId="11" xfId="0" applyFont="1" applyFill="1" applyBorder="1" applyAlignment="1">
      <alignment horizontal="center" wrapText="1"/>
    </xf>
    <xf numFmtId="0" fontId="5" fillId="11" borderId="3" xfId="0" applyFont="1" applyFill="1" applyBorder="1" applyAlignment="1">
      <alignment horizontal="center" wrapText="1"/>
    </xf>
    <xf numFmtId="0" fontId="8" fillId="4" borderId="8" xfId="0" applyFont="1" applyFill="1" applyBorder="1" applyAlignment="1">
      <alignment horizontal="center" vertical="center"/>
    </xf>
    <xf numFmtId="0" fontId="8" fillId="4" borderId="9" xfId="0" applyFont="1" applyFill="1" applyBorder="1" applyAlignment="1">
      <alignment horizontal="center" vertical="center"/>
    </xf>
    <xf numFmtId="0" fontId="5" fillId="0" borderId="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5" fillId="0" borderId="1" xfId="0" applyFont="1" applyBorder="1" applyAlignment="1">
      <alignment horizontal="center" vertical="center" wrapText="1"/>
    </xf>
    <xf numFmtId="2" fontId="5" fillId="0" borderId="2" xfId="0" applyNumberFormat="1" applyFont="1" applyBorder="1" applyAlignment="1">
      <alignment horizontal="center" vertical="center"/>
    </xf>
    <xf numFmtId="2" fontId="5" fillId="0" borderId="0" xfId="0" applyNumberFormat="1" applyFont="1" applyAlignment="1">
      <alignment horizontal="center" vertical="center"/>
    </xf>
    <xf numFmtId="2" fontId="5" fillId="0" borderId="1" xfId="0" applyNumberFormat="1" applyFont="1" applyBorder="1" applyAlignment="1">
      <alignment horizontal="center" vertical="center"/>
    </xf>
    <xf numFmtId="3" fontId="5" fillId="0" borderId="11" xfId="0" applyNumberFormat="1" applyFont="1" applyBorder="1" applyAlignment="1">
      <alignment horizontal="center" vertical="center"/>
    </xf>
    <xf numFmtId="3" fontId="5" fillId="0" borderId="4" xfId="0" applyNumberFormat="1" applyFont="1" applyBorder="1" applyAlignment="1">
      <alignment horizontal="center" vertical="center"/>
    </xf>
    <xf numFmtId="3" fontId="5" fillId="0" borderId="3" xfId="0" applyNumberFormat="1" applyFont="1" applyBorder="1" applyAlignment="1">
      <alignment horizontal="center" vertical="center"/>
    </xf>
    <xf numFmtId="2" fontId="5" fillId="0" borderId="7" xfId="0" applyNumberFormat="1" applyFont="1" applyBorder="1" applyAlignment="1">
      <alignment horizontal="center" vertical="center"/>
    </xf>
    <xf numFmtId="2" fontId="5" fillId="0" borderId="5" xfId="0" applyNumberFormat="1" applyFont="1" applyBorder="1" applyAlignment="1">
      <alignment horizontal="center" vertical="center"/>
    </xf>
    <xf numFmtId="2" fontId="5" fillId="0" borderId="6" xfId="0" applyNumberFormat="1" applyFont="1" applyBorder="1" applyAlignment="1">
      <alignment horizontal="center" vertical="center"/>
    </xf>
    <xf numFmtId="0" fontId="12" fillId="4" borderId="8" xfId="0" applyFont="1" applyFill="1" applyBorder="1" applyAlignment="1">
      <alignment horizontal="center" vertical="center" wrapText="1"/>
    </xf>
    <xf numFmtId="0" fontId="12" fillId="4" borderId="9" xfId="0" applyFont="1" applyFill="1" applyBorder="1" applyAlignment="1">
      <alignment horizontal="center" vertical="center" wrapText="1"/>
    </xf>
    <xf numFmtId="0" fontId="12" fillId="4" borderId="10" xfId="0" applyFont="1" applyFill="1" applyBorder="1" applyAlignment="1">
      <alignment horizontal="center" vertical="center" wrapText="1"/>
    </xf>
    <xf numFmtId="0" fontId="8" fillId="4" borderId="10" xfId="0" applyFont="1" applyFill="1" applyBorder="1" applyAlignment="1">
      <alignment horizontal="center" vertical="center"/>
    </xf>
    <xf numFmtId="0" fontId="5" fillId="0" borderId="4" xfId="0" applyFont="1" applyBorder="1" applyAlignment="1">
      <alignment horizontal="center" vertical="center"/>
    </xf>
    <xf numFmtId="0" fontId="5" fillId="0" borderId="3" xfId="0" applyFont="1" applyBorder="1" applyAlignment="1">
      <alignment horizontal="center" vertical="center"/>
    </xf>
    <xf numFmtId="9" fontId="5" fillId="0" borderId="25" xfId="1" applyFont="1" applyBorder="1" applyAlignment="1">
      <alignment horizontal="center" vertical="center"/>
    </xf>
    <xf numFmtId="9" fontId="5" fillId="0" borderId="26" xfId="1" applyFont="1" applyBorder="1" applyAlignment="1">
      <alignment horizontal="center" vertical="center"/>
    </xf>
    <xf numFmtId="0" fontId="5" fillId="0" borderId="27" xfId="0" applyFont="1" applyBorder="1" applyAlignment="1">
      <alignment horizontal="center" vertical="center" wrapText="1"/>
    </xf>
    <xf numFmtId="0" fontId="5" fillId="0" borderId="0" xfId="0" applyFont="1" applyAlignment="1">
      <alignment horizontal="center" vertical="center"/>
    </xf>
    <xf numFmtId="0" fontId="5" fillId="0" borderId="1" xfId="0" applyFont="1" applyBorder="1" applyAlignment="1">
      <alignment horizontal="center" vertical="center"/>
    </xf>
    <xf numFmtId="2" fontId="5" fillId="0" borderId="11" xfId="0" applyNumberFormat="1" applyFont="1" applyBorder="1" applyAlignment="1">
      <alignment horizontal="center" vertical="center"/>
    </xf>
    <xf numFmtId="2" fontId="5" fillId="0" borderId="4" xfId="0" applyNumberFormat="1" applyFont="1" applyBorder="1" applyAlignment="1">
      <alignment horizontal="center" vertical="center"/>
    </xf>
    <xf numFmtId="2" fontId="5" fillId="0" borderId="3" xfId="0" applyNumberFormat="1" applyFont="1" applyBorder="1" applyAlignment="1">
      <alignment horizontal="center" vertical="center"/>
    </xf>
    <xf numFmtId="0" fontId="12" fillId="14" borderId="22" xfId="0" applyFont="1" applyFill="1" applyBorder="1" applyAlignment="1">
      <alignment horizontal="left"/>
    </xf>
    <xf numFmtId="0" fontId="12" fillId="14" borderId="33" xfId="0" applyFont="1" applyFill="1" applyBorder="1" applyAlignment="1">
      <alignment horizontal="left"/>
    </xf>
    <xf numFmtId="0" fontId="12" fillId="14" borderId="28" xfId="0" applyFont="1" applyFill="1" applyBorder="1" applyAlignment="1">
      <alignment horizontal="left"/>
    </xf>
    <xf numFmtId="3" fontId="5" fillId="0" borderId="2" xfId="0" applyNumberFormat="1" applyFont="1" applyBorder="1" applyAlignment="1">
      <alignment horizontal="center" vertical="center" wrapText="1"/>
    </xf>
    <xf numFmtId="0" fontId="5" fillId="0" borderId="19" xfId="0" applyFont="1" applyBorder="1" applyAlignment="1">
      <alignment horizontal="center"/>
    </xf>
    <xf numFmtId="0" fontId="5" fillId="0" borderId="18" xfId="0" applyFont="1" applyBorder="1" applyAlignment="1">
      <alignment horizontal="center"/>
    </xf>
    <xf numFmtId="0" fontId="5" fillId="0" borderId="17" xfId="0" applyFont="1" applyBorder="1" applyAlignment="1">
      <alignment horizontal="center"/>
    </xf>
    <xf numFmtId="0" fontId="8" fillId="0" borderId="15" xfId="0" applyFont="1" applyBorder="1" applyAlignment="1">
      <alignment horizontal="center"/>
    </xf>
    <xf numFmtId="0" fontId="5" fillId="2" borderId="19" xfId="0" applyFont="1" applyFill="1" applyBorder="1" applyAlignment="1">
      <alignment horizontal="center"/>
    </xf>
    <xf numFmtId="0" fontId="5" fillId="2" borderId="18" xfId="0" applyFont="1" applyFill="1" applyBorder="1" applyAlignment="1">
      <alignment horizontal="center"/>
    </xf>
    <xf numFmtId="0" fontId="5" fillId="2" borderId="17" xfId="0" applyFont="1" applyFill="1" applyBorder="1" applyAlignment="1">
      <alignment horizontal="center"/>
    </xf>
    <xf numFmtId="0" fontId="5" fillId="9" borderId="19" xfId="0" applyFont="1" applyFill="1" applyBorder="1" applyAlignment="1">
      <alignment horizontal="center"/>
    </xf>
    <xf numFmtId="0" fontId="5" fillId="9" borderId="18" xfId="0" applyFont="1" applyFill="1" applyBorder="1" applyAlignment="1">
      <alignment horizontal="center"/>
    </xf>
    <xf numFmtId="0" fontId="5" fillId="9" borderId="17" xfId="0" applyFont="1" applyFill="1" applyBorder="1" applyAlignment="1">
      <alignment horizontal="center"/>
    </xf>
    <xf numFmtId="0" fontId="5" fillId="15" borderId="19" xfId="0" applyFont="1" applyFill="1" applyBorder="1" applyAlignment="1">
      <alignment horizontal="center"/>
    </xf>
    <xf numFmtId="0" fontId="5" fillId="15" borderId="18" xfId="0" applyFont="1" applyFill="1" applyBorder="1" applyAlignment="1">
      <alignment horizontal="center"/>
    </xf>
    <xf numFmtId="0" fontId="5" fillId="15" borderId="17" xfId="0" applyFont="1" applyFill="1" applyBorder="1" applyAlignment="1">
      <alignment horizontal="center"/>
    </xf>
    <xf numFmtId="0" fontId="5" fillId="14" borderId="38" xfId="0" applyFont="1" applyFill="1" applyBorder="1" applyAlignment="1">
      <alignment horizontal="center" wrapText="1"/>
    </xf>
    <xf numFmtId="0" fontId="5" fillId="14" borderId="21" xfId="0" applyFont="1" applyFill="1" applyBorder="1" applyAlignment="1">
      <alignment horizontal="center" wrapText="1"/>
    </xf>
    <xf numFmtId="0" fontId="5" fillId="14" borderId="20" xfId="0" applyFont="1" applyFill="1" applyBorder="1" applyAlignment="1">
      <alignment horizontal="center" wrapText="1"/>
    </xf>
  </cellXfs>
  <cellStyles count="6">
    <cellStyle name="Comma" xfId="2" builtinId="3"/>
    <cellStyle name="Hyperlink" xfId="5" builtinId="8"/>
    <cellStyle name="Normal" xfId="0" builtinId="0"/>
    <cellStyle name="Normal 2" xfId="3" xr:uid="{C0DDDC51-71DC-4B3B-85EB-08F06C8B4D4D}"/>
    <cellStyle name="Normal 2 2" xfId="4" xr:uid="{D715EC88-BB43-4E02-B6D3-F87729C46265}"/>
    <cellStyle name="Percent" xfId="1" builtinId="5"/>
  </cellStyles>
  <dxfs count="0"/>
  <tableStyles count="0" defaultTableStyle="TableStyleMedium2" defaultPivotStyle="PivotStyleMedium9"/>
  <colors>
    <mruColors>
      <color rgb="FF00D7B4"/>
      <color rgb="FFC7B1E6"/>
      <color rgb="FFFFA4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59267</xdr:colOff>
      <xdr:row>0</xdr:row>
      <xdr:rowOff>110068</xdr:rowOff>
    </xdr:from>
    <xdr:to>
      <xdr:col>5</xdr:col>
      <xdr:colOff>586316</xdr:colOff>
      <xdr:row>3</xdr:row>
      <xdr:rowOff>119268</xdr:rowOff>
    </xdr:to>
    <xdr:pic>
      <xdr:nvPicPr>
        <xdr:cNvPr id="2" name="Picture 1">
          <a:extLst>
            <a:ext uri="{FF2B5EF4-FFF2-40B4-BE49-F238E27FC236}">
              <a16:creationId xmlns:a16="http://schemas.microsoft.com/office/drawing/2014/main" id="{7F434DAD-8F99-0D4F-8754-D99EBDF0A429}"/>
            </a:ext>
          </a:extLst>
        </xdr:cNvPr>
        <xdr:cNvPicPr>
          <a:picLocks noChangeAspect="1"/>
        </xdr:cNvPicPr>
      </xdr:nvPicPr>
      <xdr:blipFill>
        <a:blip xmlns:r="http://schemas.openxmlformats.org/officeDocument/2006/relationships" r:embed="rId1"/>
        <a:stretch>
          <a:fillRect/>
        </a:stretch>
      </xdr:blipFill>
      <xdr:spPr>
        <a:xfrm>
          <a:off x="59267" y="110068"/>
          <a:ext cx="4021666" cy="669600"/>
        </a:xfrm>
        <a:prstGeom prst="rect">
          <a:avLst/>
        </a:prstGeom>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37797</xdr:colOff>
      <xdr:row>0</xdr:row>
      <xdr:rowOff>75595</xdr:rowOff>
    </xdr:from>
    <xdr:to>
      <xdr:col>1</xdr:col>
      <xdr:colOff>4059463</xdr:colOff>
      <xdr:row>3</xdr:row>
      <xdr:rowOff>87516</xdr:rowOff>
    </xdr:to>
    <xdr:pic>
      <xdr:nvPicPr>
        <xdr:cNvPr id="2" name="Picture 1">
          <a:extLst>
            <a:ext uri="{FF2B5EF4-FFF2-40B4-BE49-F238E27FC236}">
              <a16:creationId xmlns:a16="http://schemas.microsoft.com/office/drawing/2014/main" id="{1CB21073-0474-5941-9C6E-6CDE79F16B62}"/>
            </a:ext>
          </a:extLst>
        </xdr:cNvPr>
        <xdr:cNvPicPr>
          <a:picLocks noChangeAspect="1"/>
        </xdr:cNvPicPr>
      </xdr:nvPicPr>
      <xdr:blipFill>
        <a:blip xmlns:r="http://schemas.openxmlformats.org/officeDocument/2006/relationships" r:embed="rId1"/>
        <a:stretch>
          <a:fillRect/>
        </a:stretch>
      </xdr:blipFill>
      <xdr:spPr>
        <a:xfrm>
          <a:off x="317499" y="75595"/>
          <a:ext cx="4021666" cy="669600"/>
        </a:xfrm>
        <a:prstGeom prst="rect">
          <a:avLst/>
        </a:prstGeom>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0</xdr:row>
      <xdr:rowOff>63500</xdr:rowOff>
    </xdr:from>
    <xdr:to>
      <xdr:col>2</xdr:col>
      <xdr:colOff>1278466</xdr:colOff>
      <xdr:row>3</xdr:row>
      <xdr:rowOff>123500</xdr:rowOff>
    </xdr:to>
    <xdr:pic>
      <xdr:nvPicPr>
        <xdr:cNvPr id="2" name="Picture 1">
          <a:extLst>
            <a:ext uri="{FF2B5EF4-FFF2-40B4-BE49-F238E27FC236}">
              <a16:creationId xmlns:a16="http://schemas.microsoft.com/office/drawing/2014/main" id="{2798F4E8-3D93-374A-8581-4D4C65A4C464}"/>
            </a:ext>
          </a:extLst>
        </xdr:cNvPr>
        <xdr:cNvPicPr>
          <a:picLocks noChangeAspect="1"/>
        </xdr:cNvPicPr>
      </xdr:nvPicPr>
      <xdr:blipFill>
        <a:blip xmlns:r="http://schemas.openxmlformats.org/officeDocument/2006/relationships" r:embed="rId1"/>
        <a:stretch>
          <a:fillRect/>
        </a:stretch>
      </xdr:blipFill>
      <xdr:spPr>
        <a:xfrm>
          <a:off x="736600" y="63500"/>
          <a:ext cx="4021666" cy="669600"/>
        </a:xfrm>
        <a:prstGeom prst="rect">
          <a:avLst/>
        </a:prstGeom>
        <a:ln>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59765</xdr:colOff>
      <xdr:row>0</xdr:row>
      <xdr:rowOff>44824</xdr:rowOff>
    </xdr:from>
    <xdr:to>
      <xdr:col>3</xdr:col>
      <xdr:colOff>62255</xdr:colOff>
      <xdr:row>3</xdr:row>
      <xdr:rowOff>86895</xdr:rowOff>
    </xdr:to>
    <xdr:pic>
      <xdr:nvPicPr>
        <xdr:cNvPr id="2" name="Picture 1">
          <a:extLst>
            <a:ext uri="{FF2B5EF4-FFF2-40B4-BE49-F238E27FC236}">
              <a16:creationId xmlns:a16="http://schemas.microsoft.com/office/drawing/2014/main" id="{479736D6-9E45-0A4B-AB82-0955906590AF}"/>
            </a:ext>
          </a:extLst>
        </xdr:cNvPr>
        <xdr:cNvPicPr>
          <a:picLocks noChangeAspect="1"/>
        </xdr:cNvPicPr>
      </xdr:nvPicPr>
      <xdr:blipFill>
        <a:blip xmlns:r="http://schemas.openxmlformats.org/officeDocument/2006/relationships" r:embed="rId1"/>
        <a:stretch>
          <a:fillRect/>
        </a:stretch>
      </xdr:blipFill>
      <xdr:spPr>
        <a:xfrm>
          <a:off x="59765" y="44824"/>
          <a:ext cx="4021666" cy="669600"/>
        </a:xfrm>
        <a:prstGeom prst="rect">
          <a:avLst/>
        </a:prstGeom>
        <a:ln>
          <a:solidFill>
            <a:schemeClr val="tx1"/>
          </a:solid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50800</xdr:colOff>
      <xdr:row>0</xdr:row>
      <xdr:rowOff>88900</xdr:rowOff>
    </xdr:from>
    <xdr:to>
      <xdr:col>5</xdr:col>
      <xdr:colOff>97366</xdr:colOff>
      <xdr:row>3</xdr:row>
      <xdr:rowOff>110800</xdr:rowOff>
    </xdr:to>
    <xdr:pic>
      <xdr:nvPicPr>
        <xdr:cNvPr id="2" name="Picture 1">
          <a:extLst>
            <a:ext uri="{FF2B5EF4-FFF2-40B4-BE49-F238E27FC236}">
              <a16:creationId xmlns:a16="http://schemas.microsoft.com/office/drawing/2014/main" id="{29FE8178-107D-EE45-BC44-D95940BB53B5}"/>
            </a:ext>
          </a:extLst>
        </xdr:cNvPr>
        <xdr:cNvPicPr>
          <a:picLocks noChangeAspect="1"/>
        </xdr:cNvPicPr>
      </xdr:nvPicPr>
      <xdr:blipFill>
        <a:blip xmlns:r="http://schemas.openxmlformats.org/officeDocument/2006/relationships" r:embed="rId1"/>
        <a:stretch>
          <a:fillRect/>
        </a:stretch>
      </xdr:blipFill>
      <xdr:spPr>
        <a:xfrm>
          <a:off x="50800" y="88900"/>
          <a:ext cx="4021666" cy="669600"/>
        </a:xfrm>
        <a:prstGeom prst="rect">
          <a:avLst/>
        </a:prstGeom>
        <a:ln>
          <a:solidFill>
            <a:schemeClr val="tx1"/>
          </a:solid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88900</xdr:rowOff>
    </xdr:from>
    <xdr:to>
      <xdr:col>3</xdr:col>
      <xdr:colOff>313266</xdr:colOff>
      <xdr:row>3</xdr:row>
      <xdr:rowOff>120158</xdr:rowOff>
    </xdr:to>
    <xdr:pic>
      <xdr:nvPicPr>
        <xdr:cNvPr id="2" name="Picture 1">
          <a:extLst>
            <a:ext uri="{FF2B5EF4-FFF2-40B4-BE49-F238E27FC236}">
              <a16:creationId xmlns:a16="http://schemas.microsoft.com/office/drawing/2014/main" id="{5AF770D4-7F33-0549-B3D1-9A34DD1CD3E2}"/>
            </a:ext>
          </a:extLst>
        </xdr:cNvPr>
        <xdr:cNvPicPr>
          <a:picLocks noChangeAspect="1"/>
        </xdr:cNvPicPr>
      </xdr:nvPicPr>
      <xdr:blipFill>
        <a:blip xmlns:r="http://schemas.openxmlformats.org/officeDocument/2006/relationships" r:embed="rId1"/>
        <a:stretch>
          <a:fillRect/>
        </a:stretch>
      </xdr:blipFill>
      <xdr:spPr>
        <a:xfrm>
          <a:off x="76200" y="88900"/>
          <a:ext cx="4021666" cy="669600"/>
        </a:xfrm>
        <a:prstGeom prst="rect">
          <a:avLst/>
        </a:prstGeom>
        <a:ln>
          <a:solidFill>
            <a:schemeClr val="tx1"/>
          </a:solid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50800</xdr:colOff>
      <xdr:row>0</xdr:row>
      <xdr:rowOff>76200</xdr:rowOff>
    </xdr:from>
    <xdr:to>
      <xdr:col>3</xdr:col>
      <xdr:colOff>795866</xdr:colOff>
      <xdr:row>3</xdr:row>
      <xdr:rowOff>98100</xdr:rowOff>
    </xdr:to>
    <xdr:pic>
      <xdr:nvPicPr>
        <xdr:cNvPr id="2" name="Picture 1">
          <a:extLst>
            <a:ext uri="{FF2B5EF4-FFF2-40B4-BE49-F238E27FC236}">
              <a16:creationId xmlns:a16="http://schemas.microsoft.com/office/drawing/2014/main" id="{5B23E481-DC05-8741-8902-F7D9EF04F07E}"/>
            </a:ext>
          </a:extLst>
        </xdr:cNvPr>
        <xdr:cNvPicPr>
          <a:picLocks noChangeAspect="1"/>
        </xdr:cNvPicPr>
      </xdr:nvPicPr>
      <xdr:blipFill>
        <a:blip xmlns:r="http://schemas.openxmlformats.org/officeDocument/2006/relationships" r:embed="rId1"/>
        <a:stretch>
          <a:fillRect/>
        </a:stretch>
      </xdr:blipFill>
      <xdr:spPr>
        <a:xfrm>
          <a:off x="723900" y="76200"/>
          <a:ext cx="4021666" cy="669600"/>
        </a:xfrm>
        <a:prstGeom prst="rect">
          <a:avLst/>
        </a:prstGeom>
        <a:ln>
          <a:solidFill>
            <a:schemeClr val="tx1"/>
          </a:solid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epa.gov/watersense/water-budget-tool" TargetMode="External"/><Relationship Id="rId1" Type="http://schemas.openxmlformats.org/officeDocument/2006/relationships/hyperlink" Target="https://www.northernwater.org/what-we-do/protect-the-environment/efficient-water-use/landscape-resource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A24E9-B848-4DF0-9280-8589ADF0E421}">
  <dimension ref="A6:T33"/>
  <sheetViews>
    <sheetView tabSelected="1" zoomScale="150" workbookViewId="0">
      <selection activeCell="G4" sqref="G4"/>
    </sheetView>
  </sheetViews>
  <sheetFormatPr defaultColWidth="8.85546875" defaultRowHeight="16.5" x14ac:dyDescent="0.3"/>
  <cols>
    <col min="1" max="1" width="9.42578125" style="1" bestFit="1" customWidth="1"/>
    <col min="2" max="12" width="8.85546875" style="1"/>
    <col min="13" max="13" width="8.140625" style="1" customWidth="1"/>
    <col min="14" max="16384" width="8.85546875" style="1"/>
  </cols>
  <sheetData>
    <row r="6" spans="1:20" x14ac:dyDescent="0.3">
      <c r="A6" s="1" t="s">
        <v>165</v>
      </c>
    </row>
    <row r="7" spans="1:20" ht="8.1" customHeight="1" x14ac:dyDescent="0.3">
      <c r="A7" s="2"/>
    </row>
    <row r="8" spans="1:20" ht="15" customHeight="1" x14ac:dyDescent="0.3">
      <c r="A8" s="184" t="s">
        <v>150</v>
      </c>
      <c r="B8" s="185"/>
      <c r="C8" s="185"/>
      <c r="D8" s="185"/>
      <c r="E8" s="185"/>
      <c r="F8" s="185"/>
      <c r="G8" s="185"/>
      <c r="H8" s="185"/>
      <c r="I8" s="185"/>
      <c r="J8" s="18" t="s">
        <v>152</v>
      </c>
      <c r="K8" s="17"/>
      <c r="L8" s="17"/>
      <c r="M8" s="17"/>
      <c r="N8" s="183"/>
      <c r="O8" s="19"/>
      <c r="P8" s="3"/>
      <c r="Q8" s="3"/>
      <c r="R8" s="3"/>
      <c r="S8" s="3"/>
      <c r="T8" s="3"/>
    </row>
    <row r="9" spans="1:20" x14ac:dyDescent="0.3">
      <c r="A9" s="186"/>
      <c r="B9" s="187"/>
      <c r="C9" s="187"/>
      <c r="D9" s="187"/>
      <c r="E9" s="187"/>
      <c r="F9" s="187"/>
      <c r="G9" s="187"/>
      <c r="H9" s="187"/>
      <c r="I9" s="187"/>
      <c r="J9" s="20" t="s">
        <v>148</v>
      </c>
      <c r="K9" s="16"/>
      <c r="L9" s="16"/>
      <c r="M9" s="16"/>
      <c r="N9" s="182"/>
      <c r="O9" s="4"/>
      <c r="P9" s="3"/>
      <c r="Q9" s="3"/>
      <c r="R9" s="3"/>
      <c r="S9" s="3"/>
      <c r="T9" s="3"/>
    </row>
    <row r="10" spans="1:20" x14ac:dyDescent="0.3">
      <c r="A10" s="186"/>
      <c r="B10" s="187"/>
      <c r="C10" s="187"/>
      <c r="D10" s="187"/>
      <c r="E10" s="187"/>
      <c r="F10" s="187"/>
      <c r="G10" s="187"/>
      <c r="H10" s="187"/>
      <c r="I10" s="187"/>
      <c r="J10" s="21"/>
      <c r="K10" s="182"/>
      <c r="L10" s="182"/>
      <c r="M10" s="182"/>
      <c r="N10" s="182"/>
      <c r="O10" s="4"/>
      <c r="P10" s="3"/>
      <c r="Q10" s="3"/>
      <c r="R10" s="3"/>
      <c r="S10" s="3"/>
      <c r="T10" s="3"/>
    </row>
    <row r="11" spans="1:20" ht="38.1" customHeight="1" x14ac:dyDescent="0.3">
      <c r="A11" s="188"/>
      <c r="B11" s="189"/>
      <c r="C11" s="189"/>
      <c r="D11" s="189"/>
      <c r="E11" s="189"/>
      <c r="F11" s="189"/>
      <c r="G11" s="189"/>
      <c r="H11" s="189"/>
      <c r="I11" s="189"/>
      <c r="J11" s="22"/>
      <c r="K11" s="5"/>
      <c r="L11" s="5"/>
      <c r="M11" s="5"/>
      <c r="N11" s="5"/>
      <c r="O11" s="6"/>
      <c r="P11" s="3"/>
      <c r="Q11" s="3"/>
      <c r="R11" s="3"/>
      <c r="S11" s="3"/>
      <c r="T11" s="3"/>
    </row>
    <row r="13" spans="1:20" x14ac:dyDescent="0.3">
      <c r="A13" s="1" t="s">
        <v>149</v>
      </c>
    </row>
    <row r="14" spans="1:20" x14ac:dyDescent="0.3">
      <c r="B14" s="1" t="s">
        <v>147</v>
      </c>
    </row>
    <row r="15" spans="1:20" x14ac:dyDescent="0.3">
      <c r="B15" s="1" t="s">
        <v>153</v>
      </c>
    </row>
    <row r="16" spans="1:20" x14ac:dyDescent="0.3">
      <c r="B16" s="1" t="s">
        <v>154</v>
      </c>
    </row>
    <row r="17" spans="1:20" x14ac:dyDescent="0.3">
      <c r="B17" s="1" t="s">
        <v>125</v>
      </c>
    </row>
    <row r="18" spans="1:20" ht="17.25" thickBot="1" x14ac:dyDescent="0.35"/>
    <row r="19" spans="1:20" s="3" customFormat="1" ht="18.95" customHeight="1" x14ac:dyDescent="0.3">
      <c r="A19" s="7" t="s">
        <v>146</v>
      </c>
      <c r="B19" s="8"/>
      <c r="C19" s="8"/>
      <c r="D19" s="8"/>
      <c r="E19" s="8"/>
      <c r="F19" s="8"/>
      <c r="G19" s="8"/>
      <c r="H19" s="8"/>
      <c r="I19" s="8"/>
      <c r="J19" s="8"/>
      <c r="K19" s="8"/>
      <c r="L19" s="8"/>
      <c r="M19" s="8"/>
      <c r="N19" s="8"/>
      <c r="O19" s="8"/>
      <c r="P19" s="8"/>
      <c r="Q19" s="8"/>
      <c r="R19" s="8"/>
      <c r="S19" s="8"/>
      <c r="T19" s="9"/>
    </row>
    <row r="20" spans="1:20" x14ac:dyDescent="0.3">
      <c r="A20" s="10">
        <v>1</v>
      </c>
      <c r="B20" s="1" t="s">
        <v>130</v>
      </c>
      <c r="T20" s="11"/>
    </row>
    <row r="21" spans="1:20" x14ac:dyDescent="0.3">
      <c r="A21" s="10"/>
      <c r="B21" s="1" t="s">
        <v>155</v>
      </c>
      <c r="T21" s="11"/>
    </row>
    <row r="22" spans="1:20" x14ac:dyDescent="0.3">
      <c r="A22" s="10">
        <v>2</v>
      </c>
      <c r="B22" s="1" t="s">
        <v>129</v>
      </c>
      <c r="T22" s="11"/>
    </row>
    <row r="23" spans="1:20" x14ac:dyDescent="0.3">
      <c r="A23" s="10">
        <v>3</v>
      </c>
      <c r="B23" s="1" t="s">
        <v>151</v>
      </c>
      <c r="T23" s="11"/>
    </row>
    <row r="24" spans="1:20" ht="17.25" thickBot="1" x14ac:dyDescent="0.35">
      <c r="A24" s="12">
        <v>4</v>
      </c>
      <c r="B24" s="13" t="s">
        <v>143</v>
      </c>
      <c r="C24" s="13"/>
      <c r="D24" s="13"/>
      <c r="E24" s="13"/>
      <c r="F24" s="13"/>
      <c r="G24" s="13"/>
      <c r="H24" s="13"/>
      <c r="I24" s="13"/>
      <c r="J24" s="13"/>
      <c r="K24" s="13"/>
      <c r="L24" s="13"/>
      <c r="M24" s="13"/>
      <c r="N24" s="13"/>
      <c r="O24" s="13"/>
      <c r="P24" s="13"/>
      <c r="Q24" s="13"/>
      <c r="R24" s="13"/>
      <c r="S24" s="13"/>
      <c r="T24" s="14"/>
    </row>
    <row r="25" spans="1:20" x14ac:dyDescent="0.3">
      <c r="A25" s="15"/>
    </row>
    <row r="26" spans="1:20" x14ac:dyDescent="0.3">
      <c r="A26" s="15"/>
    </row>
    <row r="27" spans="1:20" x14ac:dyDescent="0.3">
      <c r="A27" s="15"/>
    </row>
    <row r="28" spans="1:20" ht="13.5" customHeight="1" x14ac:dyDescent="0.3">
      <c r="A28" s="15"/>
    </row>
    <row r="29" spans="1:20" x14ac:dyDescent="0.3">
      <c r="A29" s="15"/>
    </row>
    <row r="30" spans="1:20" x14ac:dyDescent="0.3">
      <c r="A30" s="15"/>
    </row>
    <row r="31" spans="1:20" x14ac:dyDescent="0.3">
      <c r="A31" s="15"/>
    </row>
    <row r="32" spans="1:20" x14ac:dyDescent="0.3">
      <c r="A32" s="15"/>
    </row>
    <row r="33" spans="1:1" x14ac:dyDescent="0.3">
      <c r="A33" s="15"/>
    </row>
  </sheetData>
  <mergeCells count="1">
    <mergeCell ref="A8:I11"/>
  </mergeCells>
  <hyperlinks>
    <hyperlink ref="J8" r:id="rId1" display="Nothern Water's Landscape Conversion Tool" xr:uid="{FC1450BB-7B38-BD45-8380-D6E1DD5CCF5D}"/>
    <hyperlink ref="J9:M9" r:id="rId2" display="EPA Water Sense Water Budget Tool" xr:uid="{3007BE7B-1B08-F347-8527-4203ECE23228}"/>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B89DA-F506-4335-BB1F-12A6DFCC562D}">
  <dimension ref="A5:P23"/>
  <sheetViews>
    <sheetView zoomScale="168" workbookViewId="0">
      <selection activeCell="B6" sqref="B6:D6"/>
    </sheetView>
  </sheetViews>
  <sheetFormatPr defaultColWidth="9.140625" defaultRowHeight="16.5" x14ac:dyDescent="0.3"/>
  <cols>
    <col min="1" max="1" width="3.7109375" style="23" customWidth="1"/>
    <col min="2" max="2" width="60.7109375" style="23" customWidth="1"/>
    <col min="3" max="4" width="12.85546875" style="23" customWidth="1"/>
    <col min="5" max="5" width="13.28515625" style="23" customWidth="1"/>
    <col min="6" max="6" width="13.42578125" style="23" customWidth="1"/>
    <col min="7" max="10" width="13.7109375" style="23" customWidth="1"/>
    <col min="11" max="11" width="11.140625" style="23" customWidth="1"/>
    <col min="12" max="13" width="14.42578125" style="23" customWidth="1"/>
    <col min="14" max="14" width="15.42578125" style="23" customWidth="1"/>
    <col min="15" max="15" width="14.85546875" style="23" customWidth="1"/>
    <col min="16" max="16" width="17.85546875" style="23" customWidth="1"/>
    <col min="17" max="16384" width="9.140625" style="23"/>
  </cols>
  <sheetData>
    <row r="5" spans="1:11" ht="17.25" thickBot="1" x14ac:dyDescent="0.35">
      <c r="A5" s="1"/>
    </row>
    <row r="6" spans="1:11" x14ac:dyDescent="0.3">
      <c r="B6" s="191" t="str">
        <f>RetrofitScenario_EnterData!C7</f>
        <v>Test Retrofit</v>
      </c>
      <c r="C6" s="192"/>
      <c r="D6" s="193"/>
      <c r="E6" s="15"/>
      <c r="F6" s="15"/>
    </row>
    <row r="7" spans="1:11" ht="36" customHeight="1" x14ac:dyDescent="0.3">
      <c r="B7" s="199" t="s">
        <v>138</v>
      </c>
      <c r="C7" s="197" t="s">
        <v>121</v>
      </c>
      <c r="D7" s="198"/>
      <c r="E7" s="15"/>
      <c r="F7" s="15"/>
    </row>
    <row r="8" spans="1:11" x14ac:dyDescent="0.3">
      <c r="B8" s="200"/>
      <c r="C8" s="24" t="s">
        <v>113</v>
      </c>
      <c r="D8" s="25" t="s">
        <v>114</v>
      </c>
      <c r="E8" s="26"/>
      <c r="F8" s="26"/>
    </row>
    <row r="9" spans="1:11" x14ac:dyDescent="0.3">
      <c r="B9" s="27" t="s">
        <v>58</v>
      </c>
      <c r="C9" s="28">
        <f>RetrofitScenario_Calcs!AR9</f>
        <v>1651744.9999999998</v>
      </c>
      <c r="D9" s="29">
        <f>C9/325851</f>
        <v>5.0690192756812156</v>
      </c>
      <c r="E9" s="30"/>
      <c r="F9" s="31"/>
    </row>
    <row r="10" spans="1:11" x14ac:dyDescent="0.3">
      <c r="B10" s="27" t="s">
        <v>139</v>
      </c>
      <c r="C10" s="28">
        <f>RetrofitScenario_Calcs!AR12</f>
        <v>255008.84920634923</v>
      </c>
      <c r="D10" s="29">
        <f t="shared" ref="D10:D12" si="0">C10/325851</f>
        <v>0.78259342216641725</v>
      </c>
      <c r="E10" s="30"/>
      <c r="F10" s="31"/>
    </row>
    <row r="11" spans="1:11" ht="14.25" customHeight="1" x14ac:dyDescent="0.3">
      <c r="B11" s="27" t="s">
        <v>140</v>
      </c>
      <c r="C11" s="28">
        <f>C9-C10</f>
        <v>1396736.1507936507</v>
      </c>
      <c r="D11" s="29">
        <f t="shared" si="0"/>
        <v>4.2864258535147988</v>
      </c>
      <c r="E11" s="30"/>
      <c r="F11" s="31"/>
    </row>
    <row r="12" spans="1:11" ht="33" x14ac:dyDescent="0.3">
      <c r="B12" s="32" t="s">
        <v>141</v>
      </c>
      <c r="C12" s="28">
        <f>RetrofitScenario_Calcs!AR10</f>
        <v>7106559.8968253955</v>
      </c>
      <c r="D12" s="29">
        <f t="shared" si="0"/>
        <v>21.809231510185317</v>
      </c>
      <c r="E12" s="30"/>
      <c r="F12" s="31"/>
    </row>
    <row r="13" spans="1:11" ht="17.25" thickBot="1" x14ac:dyDescent="0.35">
      <c r="B13" s="33" t="s">
        <v>142</v>
      </c>
      <c r="C13" s="194">
        <f>RetrofitScenario_Calcs!AR13</f>
        <v>0.84561245882000591</v>
      </c>
      <c r="D13" s="195"/>
      <c r="E13" s="30"/>
      <c r="F13" s="31"/>
    </row>
    <row r="14" spans="1:11" x14ac:dyDescent="0.3">
      <c r="B14" s="34"/>
      <c r="C14" s="35"/>
    </row>
    <row r="15" spans="1:11" ht="30" customHeight="1" x14ac:dyDescent="0.3">
      <c r="E15" s="1"/>
      <c r="H15" s="36"/>
      <c r="J15" s="196"/>
      <c r="K15" s="196"/>
    </row>
    <row r="16" spans="1:11" x14ac:dyDescent="0.3">
      <c r="E16" s="35"/>
      <c r="F16" s="35"/>
      <c r="G16" s="35"/>
      <c r="H16" s="35"/>
      <c r="I16" s="35"/>
      <c r="J16" s="35"/>
      <c r="K16" s="35"/>
    </row>
    <row r="17" spans="5:16" x14ac:dyDescent="0.3">
      <c r="E17" s="35"/>
      <c r="F17" s="35"/>
      <c r="G17" s="37"/>
      <c r="H17" s="38"/>
      <c r="I17" s="31"/>
      <c r="J17" s="38"/>
      <c r="K17" s="31"/>
    </row>
    <row r="18" spans="5:16" x14ac:dyDescent="0.3">
      <c r="J18" s="35"/>
      <c r="K18" s="35"/>
      <c r="L18" s="37"/>
      <c r="M18" s="38"/>
      <c r="N18" s="31"/>
      <c r="O18" s="38"/>
      <c r="P18" s="31"/>
    </row>
    <row r="19" spans="5:16" x14ac:dyDescent="0.3">
      <c r="J19" s="35"/>
      <c r="K19" s="35"/>
      <c r="L19" s="37"/>
      <c r="M19" s="38"/>
      <c r="N19" s="31"/>
      <c r="O19" s="38"/>
      <c r="P19" s="31"/>
    </row>
    <row r="20" spans="5:16" x14ac:dyDescent="0.3">
      <c r="J20" s="35"/>
      <c r="K20" s="35"/>
      <c r="L20" s="37"/>
      <c r="M20" s="38"/>
      <c r="N20" s="31"/>
      <c r="O20" s="38"/>
      <c r="P20" s="31"/>
    </row>
    <row r="21" spans="5:16" x14ac:dyDescent="0.3">
      <c r="O21" s="36"/>
      <c r="P21" s="31"/>
    </row>
    <row r="22" spans="5:16" x14ac:dyDescent="0.3">
      <c r="J22" s="39"/>
      <c r="K22" s="1"/>
    </row>
    <row r="23" spans="5:16" x14ac:dyDescent="0.3">
      <c r="K23" s="190"/>
      <c r="L23" s="190"/>
      <c r="M23" s="190"/>
      <c r="N23" s="190"/>
    </row>
  </sheetData>
  <mergeCells count="6">
    <mergeCell ref="K23:N23"/>
    <mergeCell ref="B6:D6"/>
    <mergeCell ref="C13:D13"/>
    <mergeCell ref="J15:K15"/>
    <mergeCell ref="C7:D7"/>
    <mergeCell ref="B7:B8"/>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BAF85-6AA8-43E7-B9CA-FE5FF0589E73}">
  <sheetPr codeName="Sheet12">
    <tabColor theme="9" tint="0.39997558519241921"/>
    <pageSetUpPr autoPageBreaks="0"/>
  </sheetPr>
  <dimension ref="B3:AV83"/>
  <sheetViews>
    <sheetView zoomScale="115" zoomScaleNormal="100" workbookViewId="0">
      <selection activeCell="AA15" sqref="AA15:AV15"/>
    </sheetView>
  </sheetViews>
  <sheetFormatPr defaultColWidth="9.140625" defaultRowHeight="16.5" x14ac:dyDescent="0.3"/>
  <cols>
    <col min="1" max="1" width="9.140625" style="40"/>
    <col min="2" max="2" width="36.42578125" style="40" customWidth="1"/>
    <col min="3" max="3" width="29.42578125" style="15" customWidth="1"/>
    <col min="4" max="4" width="38.7109375" style="40" customWidth="1"/>
    <col min="5" max="5" width="28.85546875" style="15" customWidth="1"/>
    <col min="6" max="6" width="5.42578125" style="40" customWidth="1"/>
    <col min="7" max="10" width="9.140625" style="40" hidden="1" customWidth="1"/>
    <col min="11" max="11" width="11.28515625" style="40" hidden="1" customWidth="1"/>
    <col min="12" max="12" width="9.140625" style="40" hidden="1" customWidth="1"/>
    <col min="13" max="13" width="10.140625" style="40" hidden="1" customWidth="1"/>
    <col min="14" max="26" width="12" style="40" hidden="1" customWidth="1"/>
    <col min="27" max="27" width="5" style="40" customWidth="1"/>
    <col min="28" max="28" width="4.85546875" style="40" customWidth="1"/>
    <col min="29" max="32" width="14.140625" style="40" customWidth="1"/>
    <col min="33" max="33" width="13.28515625" style="40" customWidth="1"/>
    <col min="34" max="34" width="13.42578125" style="40" customWidth="1"/>
    <col min="35" max="36" width="14" style="40" customWidth="1"/>
    <col min="37" max="37" width="23.42578125" style="40" customWidth="1"/>
    <col min="38" max="38" width="20.42578125" style="40" customWidth="1"/>
    <col min="39" max="47" width="9.140625" style="40"/>
    <col min="48" max="48" width="24.7109375" style="40" customWidth="1"/>
    <col min="49" max="16384" width="9.140625" style="40"/>
  </cols>
  <sheetData>
    <row r="3" spans="2:48" ht="14.25" customHeight="1" x14ac:dyDescent="0.3">
      <c r="AE3" s="15"/>
    </row>
    <row r="4" spans="2:48" ht="14.25" customHeight="1" x14ac:dyDescent="0.3">
      <c r="AE4" s="15"/>
    </row>
    <row r="5" spans="2:48" ht="14.25" customHeight="1" thickBot="1" x14ac:dyDescent="0.35">
      <c r="AE5" s="15"/>
    </row>
    <row r="6" spans="2:48" ht="21" customHeight="1" x14ac:dyDescent="0.3">
      <c r="B6" s="205" t="s">
        <v>0</v>
      </c>
      <c r="C6" s="206"/>
      <c r="D6" s="207" t="s">
        <v>89</v>
      </c>
      <c r="E6" s="208"/>
      <c r="AG6" s="26"/>
      <c r="AH6" s="26"/>
      <c r="AI6" s="26"/>
    </row>
    <row r="7" spans="2:48" ht="17.25" thickBot="1" x14ac:dyDescent="0.35">
      <c r="B7" s="41" t="s">
        <v>1</v>
      </c>
      <c r="C7" s="42" t="s">
        <v>135</v>
      </c>
      <c r="D7" s="209"/>
      <c r="E7" s="210"/>
      <c r="F7" s="43"/>
      <c r="G7" s="43"/>
      <c r="H7" s="43"/>
      <c r="I7" s="43"/>
      <c r="J7" s="43"/>
      <c r="K7" s="43"/>
      <c r="L7" s="43"/>
      <c r="M7" s="43"/>
      <c r="N7" s="43"/>
      <c r="O7" s="43"/>
      <c r="P7" s="43"/>
      <c r="Q7" s="43"/>
      <c r="R7" s="43"/>
      <c r="S7" s="43"/>
      <c r="T7" s="44"/>
      <c r="U7" s="44"/>
      <c r="V7" s="44"/>
      <c r="W7" s="44"/>
      <c r="X7" s="44"/>
      <c r="Y7" s="44"/>
      <c r="Z7" s="44"/>
      <c r="AC7" s="26"/>
      <c r="AD7" s="26"/>
      <c r="AE7" s="26"/>
      <c r="AF7" s="15"/>
      <c r="AG7" s="45"/>
      <c r="AH7" s="45"/>
      <c r="AI7" s="45"/>
      <c r="AJ7" s="46"/>
      <c r="AK7" s="47"/>
      <c r="AL7" s="47"/>
      <c r="AM7" s="48"/>
    </row>
    <row r="8" spans="2:48" ht="33.75" thickBot="1" x14ac:dyDescent="0.35">
      <c r="B8" s="49" t="s">
        <v>82</v>
      </c>
      <c r="C8" s="50" t="s">
        <v>122</v>
      </c>
      <c r="D8" s="209"/>
      <c r="E8" s="210"/>
      <c r="AA8" s="143" t="s">
        <v>126</v>
      </c>
      <c r="AB8" s="144"/>
      <c r="AC8" s="145"/>
      <c r="AD8" s="145"/>
      <c r="AE8" s="145"/>
      <c r="AF8" s="146"/>
      <c r="AG8" s="144"/>
      <c r="AH8" s="144"/>
      <c r="AI8" s="144"/>
      <c r="AJ8" s="144"/>
      <c r="AK8" s="144"/>
      <c r="AL8" s="144"/>
      <c r="AM8" s="144"/>
      <c r="AN8" s="144"/>
      <c r="AO8" s="144"/>
      <c r="AP8" s="144"/>
      <c r="AQ8" s="144"/>
      <c r="AR8" s="144"/>
      <c r="AS8" s="144"/>
      <c r="AT8" s="144"/>
      <c r="AU8" s="144"/>
      <c r="AV8" s="147"/>
    </row>
    <row r="9" spans="2:48" x14ac:dyDescent="0.3">
      <c r="B9" s="211" t="s">
        <v>79</v>
      </c>
      <c r="C9" s="212"/>
      <c r="D9" s="212"/>
      <c r="E9" s="213"/>
      <c r="AA9" s="10">
        <v>1</v>
      </c>
      <c r="AB9" s="40" t="s">
        <v>133</v>
      </c>
      <c r="AC9" s="44"/>
      <c r="AD9" s="51"/>
      <c r="AE9" s="44"/>
      <c r="AF9" s="45"/>
      <c r="AV9" s="52"/>
    </row>
    <row r="10" spans="2:48" x14ac:dyDescent="0.3">
      <c r="B10" s="214" t="s">
        <v>58</v>
      </c>
      <c r="C10" s="215"/>
      <c r="D10" s="216" t="s">
        <v>59</v>
      </c>
      <c r="E10" s="217"/>
      <c r="AA10" s="10">
        <v>2</v>
      </c>
      <c r="AB10" s="40" t="s">
        <v>134</v>
      </c>
      <c r="AC10" s="39"/>
      <c r="AD10" s="1"/>
      <c r="AE10" s="1"/>
      <c r="AF10" s="1"/>
      <c r="AG10" s="1"/>
      <c r="AH10" s="1"/>
      <c r="AI10" s="1"/>
      <c r="AJ10" s="1"/>
      <c r="AK10" s="1"/>
      <c r="AL10" s="1"/>
      <c r="AM10" s="1"/>
      <c r="AN10" s="1"/>
      <c r="AO10" s="1"/>
      <c r="AP10" s="1"/>
      <c r="AQ10" s="1"/>
      <c r="AR10" s="1"/>
      <c r="AS10" s="1"/>
      <c r="AT10" s="1"/>
      <c r="AU10" s="1"/>
      <c r="AV10" s="52"/>
    </row>
    <row r="11" spans="2:48" x14ac:dyDescent="0.3">
      <c r="B11" s="53" t="s">
        <v>2</v>
      </c>
      <c r="C11" s="54">
        <v>100000</v>
      </c>
      <c r="D11" s="55" t="s">
        <v>60</v>
      </c>
      <c r="E11" s="56">
        <v>50000</v>
      </c>
      <c r="AA11" s="10"/>
      <c r="AC11" s="1" t="s">
        <v>156</v>
      </c>
      <c r="AD11" s="15"/>
      <c r="AE11" s="51"/>
      <c r="AF11" s="15"/>
      <c r="AG11" s="45"/>
      <c r="AV11" s="52"/>
    </row>
    <row r="12" spans="2:48" x14ac:dyDescent="0.3">
      <c r="B12" s="53" t="s">
        <v>3</v>
      </c>
      <c r="C12" s="57" t="s">
        <v>36</v>
      </c>
      <c r="D12" s="55" t="s">
        <v>61</v>
      </c>
      <c r="E12" s="58" t="s">
        <v>38</v>
      </c>
      <c r="AA12" s="10">
        <v>3</v>
      </c>
      <c r="AB12" s="40" t="s">
        <v>132</v>
      </c>
      <c r="AC12" s="1"/>
      <c r="AD12" s="15"/>
      <c r="AE12" s="51"/>
      <c r="AF12" s="15"/>
      <c r="AG12" s="45"/>
      <c r="AV12" s="52"/>
    </row>
    <row r="13" spans="2:48" x14ac:dyDescent="0.3">
      <c r="B13" s="53" t="s">
        <v>4</v>
      </c>
      <c r="C13" s="57" t="s">
        <v>41</v>
      </c>
      <c r="D13" s="55" t="s">
        <v>62</v>
      </c>
      <c r="E13" s="58" t="s">
        <v>42</v>
      </c>
      <c r="AA13" s="10"/>
      <c r="AC13" s="40" t="s">
        <v>131</v>
      </c>
      <c r="AD13" s="44"/>
      <c r="AE13" s="51"/>
      <c r="AF13" s="44"/>
      <c r="AG13" s="44"/>
      <c r="AV13" s="52"/>
    </row>
    <row r="14" spans="2:48" x14ac:dyDescent="0.3">
      <c r="B14" s="53" t="s">
        <v>5</v>
      </c>
      <c r="C14" s="59" t="s">
        <v>90</v>
      </c>
      <c r="D14" s="55" t="s">
        <v>63</v>
      </c>
      <c r="E14" s="60" t="s">
        <v>90</v>
      </c>
      <c r="AA14" s="10"/>
      <c r="AC14" s="40" t="s">
        <v>145</v>
      </c>
      <c r="AD14" s="15"/>
      <c r="AE14" s="51"/>
      <c r="AF14" s="15"/>
      <c r="AG14" s="15"/>
      <c r="AV14" s="52"/>
    </row>
    <row r="15" spans="2:48" x14ac:dyDescent="0.3">
      <c r="B15" s="53" t="s">
        <v>84</v>
      </c>
      <c r="C15" s="61" t="s">
        <v>157</v>
      </c>
      <c r="D15" s="55" t="s">
        <v>6</v>
      </c>
      <c r="E15" s="58" t="s">
        <v>98</v>
      </c>
      <c r="AA15" s="10"/>
      <c r="AC15" s="40" t="s">
        <v>158</v>
      </c>
      <c r="AD15" s="51"/>
      <c r="AE15" s="15"/>
      <c r="AF15" s="15"/>
      <c r="AV15" s="52"/>
    </row>
    <row r="16" spans="2:48" ht="17.25" thickBot="1" x14ac:dyDescent="0.35">
      <c r="B16" s="62"/>
      <c r="D16" s="201" t="s">
        <v>64</v>
      </c>
      <c r="E16" s="202"/>
      <c r="AA16" s="12"/>
      <c r="AB16" s="63"/>
      <c r="AC16" s="63" t="s">
        <v>137</v>
      </c>
      <c r="AD16" s="64"/>
      <c r="AE16" s="65"/>
      <c r="AF16" s="65"/>
      <c r="AG16" s="63"/>
      <c r="AH16" s="63"/>
      <c r="AI16" s="63"/>
      <c r="AJ16" s="63"/>
      <c r="AK16" s="63"/>
      <c r="AL16" s="63"/>
      <c r="AM16" s="63"/>
      <c r="AN16" s="63"/>
      <c r="AO16" s="63"/>
      <c r="AP16" s="63"/>
      <c r="AQ16" s="63"/>
      <c r="AR16" s="63"/>
      <c r="AS16" s="63"/>
      <c r="AT16" s="63"/>
      <c r="AU16" s="63"/>
      <c r="AV16" s="66"/>
    </row>
    <row r="17" spans="2:27" x14ac:dyDescent="0.3">
      <c r="B17" s="67" t="s">
        <v>57</v>
      </c>
      <c r="C17" s="218" t="str">
        <f>IF(E11+E17+E23+E29=C11, "OK: Existing and new square footage are equal","Please fix: Existing and new ft2 are NOT equal")</f>
        <v>OK: Existing and new square footage are equal</v>
      </c>
      <c r="D17" s="68" t="s">
        <v>65</v>
      </c>
      <c r="E17" s="56">
        <v>25000</v>
      </c>
      <c r="AA17" s="15"/>
    </row>
    <row r="18" spans="2:27" ht="17.25" thickBot="1" x14ac:dyDescent="0.35">
      <c r="B18" s="69"/>
      <c r="C18" s="219"/>
      <c r="D18" s="68" t="s">
        <v>66</v>
      </c>
      <c r="E18" s="58" t="s">
        <v>37</v>
      </c>
      <c r="AA18" s="15"/>
    </row>
    <row r="19" spans="2:27" x14ac:dyDescent="0.3">
      <c r="B19" s="62" t="s">
        <v>110</v>
      </c>
      <c r="C19" s="70">
        <f>C11-E11-E17-E23-E29</f>
        <v>0</v>
      </c>
      <c r="D19" s="55" t="s">
        <v>67</v>
      </c>
      <c r="E19" s="58" t="s">
        <v>42</v>
      </c>
      <c r="AA19" s="15"/>
    </row>
    <row r="20" spans="2:27" x14ac:dyDescent="0.3">
      <c r="B20" s="62"/>
      <c r="D20" s="55" t="s">
        <v>68</v>
      </c>
      <c r="E20" s="60" t="s">
        <v>105</v>
      </c>
      <c r="AA20" s="15"/>
    </row>
    <row r="21" spans="2:27" x14ac:dyDescent="0.3">
      <c r="B21" s="62"/>
      <c r="D21" s="55" t="s">
        <v>6</v>
      </c>
      <c r="E21" s="58" t="s">
        <v>98</v>
      </c>
      <c r="AA21" s="15"/>
    </row>
    <row r="22" spans="2:27" x14ac:dyDescent="0.3">
      <c r="B22" s="62"/>
      <c r="D22" s="201" t="s">
        <v>69</v>
      </c>
      <c r="E22" s="202"/>
      <c r="AA22" s="15"/>
    </row>
    <row r="23" spans="2:27" x14ac:dyDescent="0.3">
      <c r="B23" s="62"/>
      <c r="D23" s="55" t="s">
        <v>70</v>
      </c>
      <c r="E23" s="56">
        <v>15000</v>
      </c>
      <c r="AA23" s="15"/>
    </row>
    <row r="24" spans="2:27" x14ac:dyDescent="0.3">
      <c r="B24" s="62"/>
      <c r="D24" s="55" t="s">
        <v>71</v>
      </c>
      <c r="E24" s="58" t="s">
        <v>37</v>
      </c>
      <c r="AA24" s="15"/>
    </row>
    <row r="25" spans="2:27" x14ac:dyDescent="0.3">
      <c r="B25" s="62"/>
      <c r="D25" s="55" t="s">
        <v>72</v>
      </c>
      <c r="E25" s="58" t="s">
        <v>41</v>
      </c>
    </row>
    <row r="26" spans="2:27" x14ac:dyDescent="0.3">
      <c r="B26" s="62"/>
      <c r="D26" s="55" t="s">
        <v>73</v>
      </c>
      <c r="E26" s="60" t="s">
        <v>105</v>
      </c>
    </row>
    <row r="27" spans="2:27" x14ac:dyDescent="0.3">
      <c r="B27" s="62"/>
      <c r="D27" s="55" t="s">
        <v>6</v>
      </c>
      <c r="E27" s="58" t="s">
        <v>98</v>
      </c>
    </row>
    <row r="28" spans="2:27" x14ac:dyDescent="0.3">
      <c r="B28" s="62"/>
      <c r="D28" s="203" t="s">
        <v>74</v>
      </c>
      <c r="E28" s="204"/>
    </row>
    <row r="29" spans="2:27" x14ac:dyDescent="0.3">
      <c r="B29" s="62"/>
      <c r="D29" s="55" t="s">
        <v>75</v>
      </c>
      <c r="E29" s="56">
        <v>10000</v>
      </c>
    </row>
    <row r="30" spans="2:27" x14ac:dyDescent="0.3">
      <c r="B30" s="62"/>
      <c r="D30" s="55" t="s">
        <v>76</v>
      </c>
      <c r="E30" s="58" t="s">
        <v>136</v>
      </c>
    </row>
    <row r="31" spans="2:27" x14ac:dyDescent="0.3">
      <c r="B31" s="62"/>
      <c r="D31" s="55" t="s">
        <v>77</v>
      </c>
      <c r="E31" s="58" t="s">
        <v>102</v>
      </c>
    </row>
    <row r="32" spans="2:27" x14ac:dyDescent="0.3">
      <c r="B32" s="62"/>
      <c r="D32" s="55" t="s">
        <v>78</v>
      </c>
      <c r="E32" s="60" t="s">
        <v>98</v>
      </c>
    </row>
    <row r="33" spans="2:5" ht="17.25" thickBot="1" x14ac:dyDescent="0.35">
      <c r="B33" s="69"/>
      <c r="C33" s="65"/>
      <c r="D33" s="71" t="s">
        <v>6</v>
      </c>
      <c r="E33" s="72" t="s">
        <v>98</v>
      </c>
    </row>
    <row r="34" spans="2:5" x14ac:dyDescent="0.3">
      <c r="C34" s="40"/>
      <c r="E34" s="40"/>
    </row>
    <row r="35" spans="2:5" x14ac:dyDescent="0.3">
      <c r="C35" s="40"/>
      <c r="E35" s="40"/>
    </row>
    <row r="36" spans="2:5" x14ac:dyDescent="0.3">
      <c r="C36" s="40"/>
      <c r="E36" s="40"/>
    </row>
    <row r="37" spans="2:5" x14ac:dyDescent="0.3">
      <c r="C37" s="40"/>
      <c r="E37" s="40"/>
    </row>
    <row r="38" spans="2:5" x14ac:dyDescent="0.3">
      <c r="C38" s="40"/>
      <c r="E38" s="40"/>
    </row>
    <row r="39" spans="2:5" x14ac:dyDescent="0.3">
      <c r="C39" s="40"/>
      <c r="E39" s="40"/>
    </row>
    <row r="40" spans="2:5" x14ac:dyDescent="0.3">
      <c r="C40" s="40"/>
      <c r="E40" s="40"/>
    </row>
    <row r="41" spans="2:5" x14ac:dyDescent="0.3">
      <c r="C41" s="40"/>
      <c r="E41" s="40"/>
    </row>
    <row r="42" spans="2:5" x14ac:dyDescent="0.3">
      <c r="C42" s="40"/>
      <c r="E42" s="40"/>
    </row>
    <row r="43" spans="2:5" x14ac:dyDescent="0.3">
      <c r="C43" s="40"/>
      <c r="E43" s="40"/>
    </row>
    <row r="44" spans="2:5" x14ac:dyDescent="0.3">
      <c r="C44" s="40"/>
      <c r="E44" s="40"/>
    </row>
    <row r="45" spans="2:5" x14ac:dyDescent="0.3">
      <c r="C45" s="40"/>
      <c r="E45" s="40"/>
    </row>
    <row r="46" spans="2:5" x14ac:dyDescent="0.3">
      <c r="C46" s="40"/>
      <c r="E46" s="40"/>
    </row>
    <row r="47" spans="2:5" x14ac:dyDescent="0.3">
      <c r="C47" s="40"/>
      <c r="E47" s="40"/>
    </row>
    <row r="48" spans="2:5" x14ac:dyDescent="0.3">
      <c r="C48" s="40"/>
      <c r="E48" s="40"/>
    </row>
    <row r="49" s="40" customFormat="1" x14ac:dyDescent="0.3"/>
    <row r="50" s="40" customFormat="1" x14ac:dyDescent="0.3"/>
    <row r="51" s="40" customFormat="1" x14ac:dyDescent="0.3"/>
    <row r="52" s="40" customFormat="1" x14ac:dyDescent="0.3"/>
    <row r="53" s="40" customFormat="1" x14ac:dyDescent="0.3"/>
    <row r="54" s="40" customFormat="1" x14ac:dyDescent="0.3"/>
    <row r="55" s="40" customFormat="1" x14ac:dyDescent="0.3"/>
    <row r="56" s="40" customFormat="1" x14ac:dyDescent="0.3"/>
    <row r="57" s="40" customFormat="1" x14ac:dyDescent="0.3"/>
    <row r="58" s="40" customFormat="1" x14ac:dyDescent="0.3"/>
    <row r="59" s="40" customFormat="1" x14ac:dyDescent="0.3"/>
    <row r="60" s="40" customFormat="1" x14ac:dyDescent="0.3"/>
    <row r="61" s="40" customFormat="1" x14ac:dyDescent="0.3"/>
    <row r="62" s="40" customFormat="1" x14ac:dyDescent="0.3"/>
    <row r="63" s="40" customFormat="1" x14ac:dyDescent="0.3"/>
    <row r="64" s="40" customFormat="1" x14ac:dyDescent="0.3"/>
    <row r="65" s="40" customFormat="1" x14ac:dyDescent="0.3"/>
    <row r="66" s="40" customFormat="1" x14ac:dyDescent="0.3"/>
    <row r="67" s="40" customFormat="1" x14ac:dyDescent="0.3"/>
    <row r="68" s="40" customFormat="1" x14ac:dyDescent="0.3"/>
    <row r="69" s="40" customFormat="1" x14ac:dyDescent="0.3"/>
    <row r="70" s="40" customFormat="1" x14ac:dyDescent="0.3"/>
    <row r="71" s="40" customFormat="1" x14ac:dyDescent="0.3"/>
    <row r="72" s="40" customFormat="1" x14ac:dyDescent="0.3"/>
    <row r="73" s="40" customFormat="1" x14ac:dyDescent="0.3"/>
    <row r="74" s="40" customFormat="1" x14ac:dyDescent="0.3"/>
    <row r="75" s="40" customFormat="1" x14ac:dyDescent="0.3"/>
    <row r="76" s="40" customFormat="1" x14ac:dyDescent="0.3"/>
    <row r="77" s="40" customFormat="1" x14ac:dyDescent="0.3"/>
    <row r="78" s="40" customFormat="1" x14ac:dyDescent="0.3"/>
    <row r="79" s="40" customFormat="1" x14ac:dyDescent="0.3"/>
    <row r="80" s="40" customFormat="1" x14ac:dyDescent="0.3"/>
    <row r="81" s="40" customFormat="1" x14ac:dyDescent="0.3"/>
    <row r="82" s="40" customFormat="1" x14ac:dyDescent="0.3"/>
    <row r="83" s="40" customFormat="1" x14ac:dyDescent="0.3"/>
  </sheetData>
  <mergeCells count="9">
    <mergeCell ref="D22:E22"/>
    <mergeCell ref="D28:E28"/>
    <mergeCell ref="B6:C6"/>
    <mergeCell ref="D6:E8"/>
    <mergeCell ref="B9:E9"/>
    <mergeCell ref="B10:C10"/>
    <mergeCell ref="D10:E10"/>
    <mergeCell ref="D16:E16"/>
    <mergeCell ref="C17:C18"/>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BF59E88F-42FE-4510-920F-9EC1EB7E0E00}">
          <x14:formula1>
            <xm:f>DropDownLists!$E$9:$E$12</xm:f>
          </x14:formula1>
          <xm:sqref>E15 E21 E27 E33</xm:sqref>
        </x14:dataValidation>
        <x14:dataValidation type="list" allowBlank="1" showInputMessage="1" showErrorMessage="1" xr:uid="{037C385B-094E-4D62-ACE3-E8C306EB827F}">
          <x14:formula1>
            <xm:f>DropDownLists!$B$9:$B$12</xm:f>
          </x14:formula1>
          <xm:sqref>E12 C12 E30 E24 E18</xm:sqref>
        </x14:dataValidation>
        <x14:dataValidation type="list" allowBlank="1" showInputMessage="1" showErrorMessage="1" xr:uid="{4A9DB7ED-57E3-41E0-93B6-373A782A4227}">
          <x14:formula1>
            <xm:f>DropDownLists!$C$9:$C$12</xm:f>
          </x14:formula1>
          <xm:sqref>C13 E13 E19 E25 E31</xm:sqref>
        </x14:dataValidation>
        <x14:dataValidation type="list" allowBlank="1" showInputMessage="1" showErrorMessage="1" xr:uid="{D7B2EB20-21A3-426E-ACFC-3885FE49942C}">
          <x14:formula1>
            <xm:f>DropDownLists!$D$9:$D$14</xm:f>
          </x14:formula1>
          <xm:sqref>C14 E32 E26 E20 E14</xm:sqref>
        </x14:dataValidation>
        <x14:dataValidation type="list" allowBlank="1" showInputMessage="1" showErrorMessage="1" xr:uid="{B949E550-D457-4C1F-B236-4003226E3651}">
          <x14:formula1>
            <xm:f>'Consolidated ET Averages'!$A$8:$A$21</xm:f>
          </x14:formula1>
          <xm:sqref>C8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6BBD7-AF0A-4B1C-B685-1818739F1A53}">
  <sheetPr codeName="Sheet14">
    <tabColor theme="9" tint="0.39997558519241921"/>
  </sheetPr>
  <dimension ref="A6:AR36"/>
  <sheetViews>
    <sheetView zoomScale="81" zoomScaleNormal="85" workbookViewId="0">
      <pane xSplit="1" ySplit="8" topLeftCell="B9" activePane="bottomRight" state="frozen"/>
      <selection activeCell="B3" sqref="B3:F9"/>
      <selection pane="topRight" activeCell="B3" sqref="B3:F9"/>
      <selection pane="bottomLeft" activeCell="B3" sqref="B3:F9"/>
      <selection pane="bottomRight" activeCell="A7" sqref="A7"/>
    </sheetView>
  </sheetViews>
  <sheetFormatPr defaultColWidth="9.140625" defaultRowHeight="16.5" x14ac:dyDescent="0.3"/>
  <cols>
    <col min="1" max="1" width="24.42578125" style="40" customWidth="1"/>
    <col min="2" max="2" width="13" style="40" customWidth="1"/>
    <col min="3" max="3" width="15.28515625" style="1" customWidth="1"/>
    <col min="4" max="4" width="16.42578125" style="1" customWidth="1"/>
    <col min="5" max="6" width="14" style="23" customWidth="1"/>
    <col min="7" max="7" width="11.140625" style="1" customWidth="1"/>
    <col min="8" max="8" width="12.85546875" style="40" customWidth="1"/>
    <col min="9" max="9" width="13.85546875" style="40" customWidth="1"/>
    <col min="10" max="10" width="11.85546875" style="40" bestFit="1" customWidth="1"/>
    <col min="11" max="11" width="12" style="34" customWidth="1"/>
    <col min="12" max="12" width="13.42578125" style="40" customWidth="1"/>
    <col min="13" max="13" width="14.85546875" style="40" customWidth="1"/>
    <col min="14" max="18" width="9.140625" style="40" customWidth="1"/>
    <col min="19" max="19" width="11.28515625" style="40" customWidth="1"/>
    <col min="20" max="20" width="9.140625" style="40" customWidth="1"/>
    <col min="21" max="21" width="10.140625" style="40" customWidth="1"/>
    <col min="22" max="34" width="12" style="40" customWidth="1"/>
    <col min="35" max="35" width="17.28515625" style="40" customWidth="1"/>
    <col min="36" max="37" width="14.140625" style="40" customWidth="1"/>
    <col min="38" max="38" width="13.28515625" style="40" customWidth="1"/>
    <col min="39" max="39" width="17.140625" style="40" customWidth="1"/>
    <col min="40" max="41" width="14" style="40" customWidth="1"/>
    <col min="42" max="42" width="10.7109375" style="40" customWidth="1"/>
    <col min="43" max="43" width="32" style="40" customWidth="1"/>
    <col min="44" max="44" width="14.7109375" style="40" customWidth="1"/>
    <col min="45" max="16384" width="9.140625" style="40"/>
  </cols>
  <sheetData>
    <row r="6" spans="1:44" ht="18.75" thickBot="1" x14ac:dyDescent="0.4">
      <c r="A6" s="251" t="s">
        <v>159</v>
      </c>
      <c r="B6" s="252"/>
      <c r="C6" s="252"/>
      <c r="D6" s="252"/>
      <c r="E6" s="252"/>
      <c r="F6" s="252"/>
      <c r="G6" s="252"/>
      <c r="H6" s="252"/>
      <c r="I6" s="252"/>
      <c r="J6" s="253"/>
    </row>
    <row r="7" spans="1:44" ht="48" customHeight="1" thickBot="1" x14ac:dyDescent="0.35">
      <c r="B7" s="65"/>
      <c r="C7" s="65"/>
      <c r="D7" s="65"/>
      <c r="E7" s="65"/>
      <c r="F7" s="65"/>
      <c r="G7" s="65"/>
      <c r="H7" s="73"/>
      <c r="I7" s="74"/>
      <c r="J7" s="65"/>
      <c r="K7" s="75"/>
      <c r="L7" s="65"/>
      <c r="M7" s="76"/>
      <c r="N7" s="237" t="s">
        <v>7</v>
      </c>
      <c r="O7" s="238"/>
      <c r="P7" s="238"/>
      <c r="Q7" s="238"/>
      <c r="R7" s="238"/>
      <c r="S7" s="238"/>
      <c r="T7" s="239"/>
      <c r="U7" s="220" t="s">
        <v>8</v>
      </c>
      <c r="V7" s="221"/>
      <c r="W7" s="221"/>
      <c r="X7" s="221"/>
      <c r="Y7" s="221"/>
      <c r="Z7" s="221"/>
      <c r="AA7" s="240"/>
      <c r="AB7" s="220" t="s">
        <v>9</v>
      </c>
      <c r="AC7" s="221"/>
      <c r="AD7" s="221"/>
      <c r="AE7" s="221"/>
      <c r="AF7" s="221"/>
      <c r="AG7" s="221"/>
      <c r="AH7" s="221"/>
      <c r="AI7" s="79"/>
      <c r="AJ7" s="80"/>
      <c r="AK7" s="3"/>
      <c r="AL7" s="81"/>
      <c r="AM7" s="44"/>
      <c r="AN7" s="44"/>
      <c r="AO7" s="64"/>
    </row>
    <row r="8" spans="1:44" s="97" customFormat="1" ht="78" customHeight="1" thickBot="1" x14ac:dyDescent="0.4">
      <c r="A8" s="82" t="s">
        <v>10</v>
      </c>
      <c r="B8" s="83" t="s">
        <v>80</v>
      </c>
      <c r="C8" s="84" t="s">
        <v>11</v>
      </c>
      <c r="D8" s="84" t="s">
        <v>12</v>
      </c>
      <c r="E8" s="84" t="s">
        <v>13</v>
      </c>
      <c r="F8" s="84" t="s">
        <v>14</v>
      </c>
      <c r="G8" s="85" t="s">
        <v>15</v>
      </c>
      <c r="H8" s="85" t="s">
        <v>16</v>
      </c>
      <c r="I8" s="86" t="s">
        <v>17</v>
      </c>
      <c r="J8" s="83" t="s">
        <v>18</v>
      </c>
      <c r="K8" s="84" t="s">
        <v>19</v>
      </c>
      <c r="L8" s="77" t="s">
        <v>20</v>
      </c>
      <c r="M8" s="78" t="s">
        <v>111</v>
      </c>
      <c r="N8" s="87" t="s">
        <v>21</v>
      </c>
      <c r="O8" s="87" t="s">
        <v>22</v>
      </c>
      <c r="P8" s="87" t="s">
        <v>23</v>
      </c>
      <c r="Q8" s="87" t="s">
        <v>24</v>
      </c>
      <c r="R8" s="87" t="s">
        <v>25</v>
      </c>
      <c r="S8" s="87" t="s">
        <v>26</v>
      </c>
      <c r="T8" s="87" t="s">
        <v>27</v>
      </c>
      <c r="U8" s="88" t="s">
        <v>21</v>
      </c>
      <c r="V8" s="87" t="s">
        <v>22</v>
      </c>
      <c r="W8" s="87" t="s">
        <v>23</v>
      </c>
      <c r="X8" s="87" t="s">
        <v>24</v>
      </c>
      <c r="Y8" s="87" t="s">
        <v>25</v>
      </c>
      <c r="Z8" s="87" t="s">
        <v>26</v>
      </c>
      <c r="AA8" s="89" t="s">
        <v>27</v>
      </c>
      <c r="AB8" s="88" t="s">
        <v>21</v>
      </c>
      <c r="AC8" s="87" t="s">
        <v>22</v>
      </c>
      <c r="AD8" s="87" t="s">
        <v>23</v>
      </c>
      <c r="AE8" s="87" t="s">
        <v>24</v>
      </c>
      <c r="AF8" s="87" t="s">
        <v>25</v>
      </c>
      <c r="AG8" s="87" t="s">
        <v>26</v>
      </c>
      <c r="AH8" s="89" t="s">
        <v>27</v>
      </c>
      <c r="AI8" s="90" t="s">
        <v>144</v>
      </c>
      <c r="AJ8" s="91" t="s">
        <v>28</v>
      </c>
      <c r="AK8" s="90" t="s">
        <v>29</v>
      </c>
      <c r="AL8" s="90" t="s">
        <v>30</v>
      </c>
      <c r="AM8" s="90" t="s">
        <v>31</v>
      </c>
      <c r="AN8" s="92" t="s">
        <v>32</v>
      </c>
      <c r="AO8" s="93" t="s">
        <v>33</v>
      </c>
      <c r="AP8" s="94"/>
      <c r="AQ8" s="95" t="s">
        <v>93</v>
      </c>
      <c r="AR8" s="96"/>
    </row>
    <row r="9" spans="1:44" ht="15.75" customHeight="1" x14ac:dyDescent="0.3">
      <c r="A9" s="222" t="str">
        <f>RetrofitScenario_EnterData!C7</f>
        <v>Test Retrofit</v>
      </c>
      <c r="B9" s="225" t="s">
        <v>85</v>
      </c>
      <c r="C9" s="225" t="str">
        <f>RetrofitScenario_EnterData!C12</f>
        <v>Cool Season Turf</v>
      </c>
      <c r="D9" s="225" t="str">
        <f>RetrofitScenario_EnterData!C13</f>
        <v>Medium</v>
      </c>
      <c r="E9" s="225" t="str">
        <f>RetrofitScenario_EnterData!E12</f>
        <v>Native Grass</v>
      </c>
      <c r="F9" s="225" t="str">
        <f>RetrofitScenario_EnterData!E13</f>
        <v>Low</v>
      </c>
      <c r="G9" s="225" t="str">
        <f>RetrofitScenario_EnterData!E15</f>
        <v>None</v>
      </c>
      <c r="H9" s="225" t="str">
        <f>RetrofitScenario_EnterData!C8</f>
        <v>OTHER</v>
      </c>
      <c r="I9" s="231">
        <f>RetrofitScenario_EnterData!E11</f>
        <v>50000</v>
      </c>
      <c r="J9" s="98" t="s">
        <v>34</v>
      </c>
      <c r="K9" s="99" t="str">
        <f>RetrofitScenario_EnterData!C14</f>
        <v>Rotor</v>
      </c>
      <c r="L9" s="100">
        <f>IF(AND(C9="Cool Season Turf",D9="High"),0.8,IF(AND(C9="Cool Season Turf",D9="Medium"),0.7,IF(AND(C9="Cool Season Turf",D9="Low"),0.6,IF(AND(C9="Plantings",D9="High"),0.7,IF(AND(C9="Plantings",D9="Medium"),0.5,IF(AND(C9="Plantings",D9="Low"),0.2,IF(AND(C9="Native Grass",D9="High"),0.7,IF(AND(C9="Native Grass",D9="Medium"),0.5,IF(AND(C9="Native Grass",D9="Low"),0.2,IF(OR(C9="None",C9=0),0))))))))))</f>
        <v>0.7</v>
      </c>
      <c r="M9" s="101" cm="1">
        <f t="array" ref="M9">_xlfn.IFS(K9="Fixed Spray",0.65,K9="Rotor",0.7,K9="Standard Drip",0.7,K9="Microspray",0.7,K9="Efficient Drip",0.9,K9=0,0)</f>
        <v>0.7</v>
      </c>
      <c r="N9" s="234">
        <f>SUMIF('Consolidated ET Averages'!$A$8:$A$21, $H9,'Consolidated ET Averages'!$B$8:$B$21)</f>
        <v>2</v>
      </c>
      <c r="O9" s="228">
        <f>SUMIF('Consolidated ET Averages'!$A$8:$A$21, $H9,'Consolidated ET Averages'!$C$8:$C$21)</f>
        <v>5</v>
      </c>
      <c r="P9" s="228">
        <f>SUMIF('Consolidated ET Averages'!$A$8:$A$21, $H9,'Consolidated ET Averages'!$D$8:$D$21)</f>
        <v>6</v>
      </c>
      <c r="Q9" s="228">
        <f>SUMIF('Consolidated ET Averages'!$A$8:$A$21, $H9,'Consolidated ET Averages'!$E$8:$E$21)</f>
        <v>7</v>
      </c>
      <c r="R9" s="228">
        <f>SUMIF('Consolidated ET Averages'!$A$8:$A$21, $H9,'Consolidated ET Averages'!$F$8:$F$21)</f>
        <v>6</v>
      </c>
      <c r="S9" s="228">
        <f>SUMIF('Consolidated ET Averages'!$A$8:$A$21, $H9,'Consolidated ET Averages'!$G$8:$G$21)</f>
        <v>6</v>
      </c>
      <c r="T9" s="248">
        <f>SUMIF('Consolidated ET Averages'!$A$8:$A$21, $H9,'Consolidated ET Averages'!$H$8:$H$21)</f>
        <v>2</v>
      </c>
      <c r="U9" s="234">
        <f>SUMIF('Consolidated ET Averages'!$A$8:$A$21, $H9,'Consolidated ET Averages'!$K$8:$K$21)</f>
        <v>1</v>
      </c>
      <c r="V9" s="228">
        <f>SUMIF('Consolidated ET Averages'!$A$8:$A$21, $H9,'Consolidated ET Averages'!$L$8:$L$21)</f>
        <v>3</v>
      </c>
      <c r="W9" s="228">
        <f>SUMIF('Consolidated ET Averages'!$A$8:$A$21, $H9,'Consolidated ET Averages'!$M$8:$M$21)</f>
        <v>2</v>
      </c>
      <c r="X9" s="228">
        <f>SUMIF('Consolidated ET Averages'!$A$8:$A$21, $H9,'Consolidated ET Averages'!$N$8:$N$21)</f>
        <v>2</v>
      </c>
      <c r="Y9" s="228">
        <f>SUMIF('Consolidated ET Averages'!$A$8:$A$21, $H9,'Consolidated ET Averages'!$O$8:$O$21)</f>
        <v>1</v>
      </c>
      <c r="Z9" s="228">
        <f>SUMIF('Consolidated ET Averages'!$A$8:$A$21, $H9,'Consolidated ET Averages'!$P$8:$P$21)</f>
        <v>1</v>
      </c>
      <c r="AA9" s="228">
        <f>SUMIF('Consolidated ET Averages'!$A$8:$A$21, $H9,'Consolidated ET Averages'!$Q$8:$Q$21)</f>
        <v>0.5</v>
      </c>
      <c r="AB9" s="102">
        <f>MAX(0,IF(I9&gt;0,(1/M9)*((N9*L9)-(U9*0.5))*I9*0.6233,0))</f>
        <v>40069.28571428571</v>
      </c>
      <c r="AC9" s="103">
        <f>MAX(0,IF(I9&gt;0,(1/M9)*((O9*L9)-(V9*0.5))*I9*0.6233,0))</f>
        <v>89042.857142857145</v>
      </c>
      <c r="AD9" s="103">
        <f>MAX(0,IF(I9&gt;0,(1/M9)*((P9*L9)-(W9*0.5))*I9*0.6233,0))</f>
        <v>142468.57142857139</v>
      </c>
      <c r="AE9" s="103">
        <f>MAX(0,IF(I9&gt;0,(1/M9)*((Q9*L9)-(X9*0.5))*I9*0.6233,0))</f>
        <v>173633.57142857142</v>
      </c>
      <c r="AF9" s="103">
        <f>MAX(0,IF(I9&gt;0,(1/M9)*((R9*L9)-(Y9*0.5))*I9*0.6233,0))</f>
        <v>164729.28571428568</v>
      </c>
      <c r="AG9" s="103">
        <f>MAX(0,IF(I9&gt;0,(1/M9)*((S9*L9)-(Z9*0.5))*I9*0.6233,0))</f>
        <v>164729.28571428568</v>
      </c>
      <c r="AH9" s="104">
        <f>MAX(0,IF(I9&gt;0,(1/M9)*((T9*L9)-(AA9*0.5))*I9*0.6233,0))</f>
        <v>51199.642857142855</v>
      </c>
      <c r="AI9" s="105">
        <f>SUM(AB9:AH9)</f>
        <v>825872.49999999988</v>
      </c>
      <c r="AJ9" s="106" cm="1">
        <f t="array" ref="AJ9">AI9*_xlfn.IFS(OR(G9="None",G9=0),0,G9="Smart Controller",0.15,G9="HE MP Nozzles",0.1,G9="PRS-CV Heads",0.05)</f>
        <v>0</v>
      </c>
      <c r="AK9" s="107">
        <v>0</v>
      </c>
      <c r="AL9" s="108">
        <v>0</v>
      </c>
      <c r="AM9" s="109">
        <f>SUM(AK10:AK15)</f>
        <v>3374724.2857142845</v>
      </c>
      <c r="AN9" s="110">
        <f>IF(ISNA(AVERAGE(AK11:AK15))=TRUE,0,AVERAGE(AK11:AK15))</f>
        <v>674944.85714285693</v>
      </c>
      <c r="AO9" s="111">
        <f>IF(ISNA(AVERAGE(AL11:AL15))=TRUE,0,AVERAGE(AL11:AL15))</f>
        <v>0.81725067385444738</v>
      </c>
      <c r="AP9" s="112"/>
      <c r="AQ9" s="113" t="s">
        <v>92</v>
      </c>
      <c r="AR9" s="114">
        <f>AI9+AI16+AI23+AI30</f>
        <v>1651744.9999999998</v>
      </c>
    </row>
    <row r="10" spans="1:44" ht="18" x14ac:dyDescent="0.3">
      <c r="A10" s="223"/>
      <c r="B10" s="226"/>
      <c r="C10" s="226"/>
      <c r="D10" s="226"/>
      <c r="E10" s="226"/>
      <c r="F10" s="226"/>
      <c r="G10" s="226"/>
      <c r="H10" s="226"/>
      <c r="I10" s="232"/>
      <c r="J10" s="15">
        <v>1</v>
      </c>
      <c r="K10" s="226" t="str">
        <f>RetrofitScenario_EnterData!E14</f>
        <v>Rotor</v>
      </c>
      <c r="L10" s="15">
        <f>IF(AND(C9=E9,D9=F9),L9,IF(AND(E9="Cool Season Turf",F9="High"),'Landscape Coefficients'!$B$9,IF(AND(E9="Cool Season Turf",F9="Medium"),'Landscape Coefficients'!$C$9,IF(AND(E9="Cool Season Turf",F9="Low"),'Landscape Coefficients'!$D$9,IF(AND(E9="Plantings",F9="High"),'Landscape Coefficients'!$E$9,IF(AND(E9="Plantings",F9="Medium"),'Landscape Coefficients'!$F$9,IF(AND(E9="Plantings",F9="Low"),'Landscape Coefficients'!$G$9,IF(AND(E9="Native Grass",F9="High"),'Landscape Coefficients'!$H$9,IF(AND(E9="Native Grass",F9="Medium"),'Landscape Coefficients'!$I$9,IF(AND(E9="Native Grass",F9="Low"),'Landscape Coefficients'!$J$9,IF(OR(F9="No Supplemental Irrigation",F9=0),0)))))))))))</f>
        <v>0.7</v>
      </c>
      <c r="M10" s="115" cm="1">
        <f t="array" ref="M10">_xlfn.IFS(K10="Fixed Spray",0.65,K10="Rotor",0.7,K10="Standard Drip",0.7,K10="Microspray",0.7,K10="Efficient Drip",0.9,OR(K10="None",K10=0),0)</f>
        <v>0.7</v>
      </c>
      <c r="N10" s="235"/>
      <c r="O10" s="229"/>
      <c r="P10" s="229"/>
      <c r="Q10" s="229"/>
      <c r="R10" s="229"/>
      <c r="S10" s="229"/>
      <c r="T10" s="249"/>
      <c r="U10" s="235"/>
      <c r="V10" s="229"/>
      <c r="W10" s="229"/>
      <c r="X10" s="229"/>
      <c r="Y10" s="229"/>
      <c r="Z10" s="229"/>
      <c r="AA10" s="229"/>
      <c r="AB10" s="116">
        <f>MAX(0,IF(L10=0,0,(1/M10)*((N9*L10)-(U9*0.5))*I9*0.6233))</f>
        <v>40069.28571428571</v>
      </c>
      <c r="AC10" s="44">
        <f>MAX(0,IF(L10=0,0,(1/M10)*((O9*L10)-(V9*0.5))*I9*0.6233))</f>
        <v>89042.857142857145</v>
      </c>
      <c r="AD10" s="44">
        <f>MAX(0,IF(L10=0,0,(1/M10)*((P9*L10)-(W9*0.5))*I9*0.6233))</f>
        <v>142468.57142857139</v>
      </c>
      <c r="AE10" s="44">
        <f>MAX(0,IF(L10=0,0,(1/M10)*((Q9*L10)-(X9*0.5))*I9*0.6233))</f>
        <v>173633.57142857142</v>
      </c>
      <c r="AF10" s="44">
        <f>MAX(0,IF(L10=0,0,(1/M10)*((R9*L10)-(Y9*0.5))*I9*0.6233))</f>
        <v>164729.28571428568</v>
      </c>
      <c r="AG10" s="44">
        <f>MAX(0,IF(L10=0,0,(1/M10)*((S9*L10)-(Z9*0.5))*I9*0.6233))</f>
        <v>164729.28571428568</v>
      </c>
      <c r="AH10" s="117">
        <f>MAX(0,IF(L10=0,0,(1/M10)*((T9*L10)-(AA9*0.5))*I9*0.6233))</f>
        <v>51199.642857142855</v>
      </c>
      <c r="AI10" s="116">
        <f>SUM(AB10:AH10)</f>
        <v>825872.49999999988</v>
      </c>
      <c r="AJ10" s="44" cm="1">
        <f t="array" ref="AJ10">AI10*_xlfn.IFS(OR(G9="None",G9=0),0,G9="Smart Controller",0.15,G9="HE MP Nozzles",0.1,G9="PRS-CV Heads",0.05)</f>
        <v>0</v>
      </c>
      <c r="AK10" s="118">
        <f>SUM(AI9-AI10)+AJ10</f>
        <v>0</v>
      </c>
      <c r="AL10" s="119">
        <f>IF(I9=0,0,1-((AI10-AJ10)/AI9))</f>
        <v>0</v>
      </c>
      <c r="AM10" s="246"/>
      <c r="AN10" s="241"/>
      <c r="AO10" s="243"/>
      <c r="AQ10" s="113" t="s">
        <v>96</v>
      </c>
      <c r="AR10" s="114">
        <f>SUM(AM9:AM36)</f>
        <v>7106559.8968253955</v>
      </c>
    </row>
    <row r="11" spans="1:44" ht="18" x14ac:dyDescent="0.3">
      <c r="A11" s="223"/>
      <c r="B11" s="226"/>
      <c r="C11" s="226"/>
      <c r="D11" s="226"/>
      <c r="E11" s="226"/>
      <c r="F11" s="226"/>
      <c r="G11" s="226"/>
      <c r="H11" s="226"/>
      <c r="I11" s="232"/>
      <c r="J11" s="15">
        <v>2</v>
      </c>
      <c r="K11" s="226"/>
      <c r="L11" s="15">
        <f>IF(AND(E9="Cool Season Turf",F9="High"),'Landscape Coefficients'!$B$10,IF(AND(E9="Cool Season Turf",F9="Medium"),'Landscape Coefficients'!$C$10,IF(AND(E9="Cool Season Turf",F9="Low"),'Landscape Coefficients'!$D$10,IF(AND(E9="Plantings",F9="High"),'Landscape Coefficients'!$E$10,IF(AND(E9="Plantings",F9="Medium"),'Landscape Coefficients'!$F$10,IF(AND(E9="Plantings",F9="Low"),'Landscape Coefficients'!$G$10,IF(AND(E9="Native Grass",F9="High"),'Landscape Coefficients'!$H$10,IF(AND(E9="Native Grass",F9="Medium"),'Landscape Coefficients'!$I$10,IF(AND(E9="Native Grass",F9="Low"),'Landscape Coefficients'!$J$10,IF(OR(F9="No Supplemental Irrigation",F9=0),0))))))))))</f>
        <v>0.4</v>
      </c>
      <c r="M11" s="115" cm="1">
        <f t="array" ref="M11">_xlfn.IFS(K10="Fixed Spray",0.65,K10="Rotor",0.7,K10="Standard Drip",0.7,K10="Microspray",0.7,K10="Efficient Drip",0.9,OR(K10="None",K10=0),0)</f>
        <v>0.7</v>
      </c>
      <c r="N11" s="235"/>
      <c r="O11" s="229"/>
      <c r="P11" s="229"/>
      <c r="Q11" s="229"/>
      <c r="R11" s="229"/>
      <c r="S11" s="229"/>
      <c r="T11" s="249"/>
      <c r="U11" s="235"/>
      <c r="V11" s="229"/>
      <c r="W11" s="229"/>
      <c r="X11" s="229"/>
      <c r="Y11" s="229"/>
      <c r="Z11" s="229"/>
      <c r="AA11" s="229"/>
      <c r="AB11" s="116">
        <f>MAX(0,IF(L10=0,0,(1/M10)*((N9*L11)-(U9*0.5))*I9*0.6233))</f>
        <v>13356.428571428572</v>
      </c>
      <c r="AC11" s="44">
        <f>MAX(0,IF(L10=0,0,(1/M10)*((O9*L11)-(V9*0.5))*I9*0.6233))</f>
        <v>22260.714285714286</v>
      </c>
      <c r="AD11" s="44">
        <f>MAX(0,IF(L10=0,0,(1/M10)*((P9*L11)-(W9*0.5))*I9*0.6233))</f>
        <v>62330.000000000015</v>
      </c>
      <c r="AE11" s="44">
        <f>MAX(0,IF(L10=0,0,(1/M10)*((Q9*L11)-(X9*0.5))*I9*0.6233))</f>
        <v>80138.571428571449</v>
      </c>
      <c r="AF11" s="44">
        <f>MAX(0,IF(L10=0,0,(1/M10)*((R9*L11)-(Y9*0.5))*I9*0.6233))</f>
        <v>84590.71428571429</v>
      </c>
      <c r="AG11" s="44">
        <f>MAX(0,IF(L10=0,0,(1/M10)*((S9*L11)-(Z9*0.5))*I9*0.6233))</f>
        <v>84590.71428571429</v>
      </c>
      <c r="AH11" s="117">
        <f>MAX(0,IF(L10=0,0,(1/M10)*((T9*L11)-(AA9*0.5))*I9*0.6233))</f>
        <v>24486.785714285714</v>
      </c>
      <c r="AI11" s="116">
        <f t="shared" ref="AI11:AI15" si="0">SUM(AB11:AH11)</f>
        <v>371753.9285714287</v>
      </c>
      <c r="AJ11" s="44" cm="1">
        <f t="array" ref="AJ11">AI11*_xlfn.IFS(OR(G9="None",G9=0),0,G9="Smart Controller",0.15,G9="HE MP Nozzles",0.1,G9="PRS-CV Heads",0.05)</f>
        <v>0</v>
      </c>
      <c r="AK11" s="118">
        <f>SUM(AI9-AI11)+AJ11</f>
        <v>454118.57142857119</v>
      </c>
      <c r="AL11" s="119">
        <f>IF(I9=0,0,1-((AI11-AJ11)/AI9))</f>
        <v>0.54986522911051194</v>
      </c>
      <c r="AM11" s="246"/>
      <c r="AN11" s="241"/>
      <c r="AO11" s="243"/>
      <c r="AP11" s="44"/>
      <c r="AQ11" s="113" t="s">
        <v>95</v>
      </c>
      <c r="AR11" s="114">
        <f>AK15+AK22+AK29+AK36</f>
        <v>1396736.1507936504</v>
      </c>
    </row>
    <row r="12" spans="1:44" ht="18" x14ac:dyDescent="0.3">
      <c r="A12" s="223"/>
      <c r="B12" s="226"/>
      <c r="C12" s="226"/>
      <c r="D12" s="226"/>
      <c r="E12" s="226"/>
      <c r="F12" s="226"/>
      <c r="G12" s="226"/>
      <c r="H12" s="226"/>
      <c r="I12" s="232"/>
      <c r="J12" s="15">
        <v>3</v>
      </c>
      <c r="K12" s="226"/>
      <c r="L12" s="15">
        <f>IF(AND(E9="Cool Season Turf",F9="High"),'Landscape Coefficients'!$B$11,IF(AND(E9="Cool Season Turf",F9="Medium"),'Landscape Coefficients'!$C$11,IF(AND(E9="Cool Season Turf",F9="Low"),'Landscape Coefficients'!$D$11,IF(AND(E9="Plantings",F9="High"),'Landscape Coefficients'!$E$11,IF(AND(E9="Plantings",F9="Medium"),'Landscape Coefficients'!$F$11,IF(AND(E9="Plantings",F9="Low"),'Landscape Coefficients'!$G$11,IF(AND(E9="Native Grass",F9="High"),'Landscape Coefficients'!$H$11,IF(AND(E9="Native Grass",F9="Medium"),'Landscape Coefficients'!$I$11,IF(AND(E9="Native Grass",F9="Low"),'Landscape Coefficients'!$J$11,IF(OR(F9="No Supplemental Irrigation",F9=0),0))))))))))</f>
        <v>0.2</v>
      </c>
      <c r="M12" s="115" cm="1">
        <f t="array" ref="M12">_xlfn.IFS(K10="Fixed Spray",0.65,K10="Rotor",0.7,K10="Standard Drip",0.7,K10="Microspray",0.7,K10="Efficient Drip",0.9,OR(K10="None",K10=0),0)</f>
        <v>0.7</v>
      </c>
      <c r="N12" s="235"/>
      <c r="O12" s="229"/>
      <c r="P12" s="229"/>
      <c r="Q12" s="229"/>
      <c r="R12" s="229"/>
      <c r="S12" s="229"/>
      <c r="T12" s="249"/>
      <c r="U12" s="235"/>
      <c r="V12" s="229"/>
      <c r="W12" s="229"/>
      <c r="X12" s="229"/>
      <c r="Y12" s="229"/>
      <c r="Z12" s="229"/>
      <c r="AA12" s="229"/>
      <c r="AB12" s="116">
        <f>MAX(0,IF(L10=0,0,(1/M10)*((N9*L12)-(U9*0.5))*I9*0.6233))</f>
        <v>0</v>
      </c>
      <c r="AC12" s="44">
        <f>MAX(0,IF(L10=0,0,(1/M10)*((O9*L12)-(V9*0.5))*I9*0.6233))</f>
        <v>0</v>
      </c>
      <c r="AD12" s="44">
        <f>MAX(0,IF(L10=0,0,(1/M10)*((P9*L12)-(W9*0.5))*I9*0.6233))</f>
        <v>8904.2857142857229</v>
      </c>
      <c r="AE12" s="44">
        <f>MAX(0,IF(L10=0,0,(1/M10)*((Q9*L12)-(X9*0.5))*I9*0.6233))</f>
        <v>17808.571428571431</v>
      </c>
      <c r="AF12" s="44">
        <f>MAX(0,IF(L10=0,0,(1/M10)*((R9*L12)-(Y9*0.5))*I9*0.6233))</f>
        <v>31165.000000000007</v>
      </c>
      <c r="AG12" s="44">
        <f>MAX(0,IF(L10=0,0,(1/M10)*((S9*L12)-(Z9*0.5))*I9*0.6233))</f>
        <v>31165.000000000007</v>
      </c>
      <c r="AH12" s="117">
        <f>MAX(0,IF(L10=0,0,(1/M10)*((T9*L12)-(AA9*0.5))*I9*0.6233))</f>
        <v>6678.2142857142862</v>
      </c>
      <c r="AI12" s="116">
        <f t="shared" si="0"/>
        <v>95721.071428571449</v>
      </c>
      <c r="AJ12" s="44" cm="1">
        <f t="array" ref="AJ12">AI12*_xlfn.IFS(OR(G9="None",G9=0),0,G9="Smart Controller",0.15,G9="HE MP Nozzles",0.1,G9="PRS-CV Heads",0.05)</f>
        <v>0</v>
      </c>
      <c r="AK12" s="118">
        <f>SUM(AI9-AI12)+AJ12</f>
        <v>730151.42857142841</v>
      </c>
      <c r="AL12" s="119">
        <f>IF(I9=0,0,1-((AI12-AJ12)/AI9))</f>
        <v>0.88409703504043125</v>
      </c>
      <c r="AM12" s="246"/>
      <c r="AN12" s="241"/>
      <c r="AO12" s="243"/>
      <c r="AQ12" s="113" t="s">
        <v>94</v>
      </c>
      <c r="AR12" s="114">
        <f>AI15+AI22+AI29+AI36</f>
        <v>255008.84920634923</v>
      </c>
    </row>
    <row r="13" spans="1:44" ht="18" x14ac:dyDescent="0.3">
      <c r="A13" s="223"/>
      <c r="B13" s="226"/>
      <c r="C13" s="226"/>
      <c r="D13" s="226"/>
      <c r="E13" s="226"/>
      <c r="F13" s="226"/>
      <c r="G13" s="226"/>
      <c r="H13" s="226"/>
      <c r="I13" s="232"/>
      <c r="J13" s="15">
        <v>4</v>
      </c>
      <c r="K13" s="226"/>
      <c r="L13" s="15">
        <f>IF(AND(E9="Cool Season Turf",F9="High"),'Landscape Coefficients'!$B$12,IF(AND(E9="Cool Season Turf",F9="Medium"),'Landscape Coefficients'!$C$12,IF(AND(E9="Cool Season Turf",F9="Low"),'Landscape Coefficients'!$D$12,IF(AND(E9="Plantings",F9="High"),'Landscape Coefficients'!$E$12,IF(AND(E9="Plantings",F9="Medium"),'Landscape Coefficients'!$F$12,IF(AND(E9="Plantings",F9="Low"),'Landscape Coefficients'!$G$12,IF(AND(E9="Native Grass",F9="High"),'Landscape Coefficients'!$H$12,IF(AND(E9="Native Grass",F9="Medium"),'Landscape Coefficients'!$I$12,IF(AND(E9="Native Grass",F9="Low"),'Landscape Coefficients'!$J$12,IF(OR(F9="No Supplemental Irrigation",F9=0),0))))))))))</f>
        <v>0.2</v>
      </c>
      <c r="M13" s="115" cm="1">
        <f t="array" ref="M13">_xlfn.IFS(K10="Fixed Spray",0.65,K10="Rotor",0.7,K10="Standard Drip",0.7,K10="Microspray",0.7,K10="Efficient Drip",0.9,OR(K10="None",K10=0),0)</f>
        <v>0.7</v>
      </c>
      <c r="N13" s="235"/>
      <c r="O13" s="229"/>
      <c r="P13" s="229"/>
      <c r="Q13" s="229"/>
      <c r="R13" s="229"/>
      <c r="S13" s="229"/>
      <c r="T13" s="249"/>
      <c r="U13" s="235"/>
      <c r="V13" s="229"/>
      <c r="W13" s="229"/>
      <c r="X13" s="229"/>
      <c r="Y13" s="229"/>
      <c r="Z13" s="229"/>
      <c r="AA13" s="229"/>
      <c r="AB13" s="116">
        <f>MAX(0,IF(L10=0,0,(1/M10)*((N9*L13)-(U9*0.5))*I9*0.6233))</f>
        <v>0</v>
      </c>
      <c r="AC13" s="44">
        <f>MAX(0,IF(L10=0,0,(1/M10)*((O9*L13)-(V9*0.5))*I9*0.6233))</f>
        <v>0</v>
      </c>
      <c r="AD13" s="44">
        <f>MAX(0,IF(L10=0,0,(1/M10)*((P9*L13)-(W9*0.5))*I9*0.6233))</f>
        <v>8904.2857142857229</v>
      </c>
      <c r="AE13" s="44">
        <f>MAX(0,IF(L10=0,0,(1/M10)*((Q9*L13)-(X9*0.5))*I9*0.6233))</f>
        <v>17808.571428571431</v>
      </c>
      <c r="AF13" s="44">
        <f>MAX(0,IF(L10=0,0,(1/M10)*((R9*L13)-(Y9*0.5))*I9*0.6233))</f>
        <v>31165.000000000007</v>
      </c>
      <c r="AG13" s="44">
        <f>MAX(0,IF(L10=0,0,(1/M10)*((S9*L13)-(Z9*0.5))*I9*0.6233))</f>
        <v>31165.000000000007</v>
      </c>
      <c r="AH13" s="117">
        <f>MAX(0,IF(L10=0,0,(1/M10)*((T9*L13)-(AA9*0.5))*I9*0.6233))</f>
        <v>6678.2142857142862</v>
      </c>
      <c r="AI13" s="116">
        <f t="shared" si="0"/>
        <v>95721.071428571449</v>
      </c>
      <c r="AJ13" s="44" cm="1">
        <f t="array" ref="AJ13">AI13*_xlfn.IFS(OR(G9="None",G9=0),0,G9="Smart Controller",0.15,G9="HE MP Nozzles",0.1,G9="PRS-CV Heads",0.05)</f>
        <v>0</v>
      </c>
      <c r="AK13" s="118">
        <f>SUM(AI9-AI13)+AJ13</f>
        <v>730151.42857142841</v>
      </c>
      <c r="AL13" s="119">
        <f>IF(I9=0,0,1-((AI13-AJ13)/AI9))</f>
        <v>0.88409703504043125</v>
      </c>
      <c r="AM13" s="246"/>
      <c r="AN13" s="241"/>
      <c r="AO13" s="243"/>
      <c r="AQ13" s="113" t="s">
        <v>97</v>
      </c>
      <c r="AR13" s="120">
        <f>AR11/AR9</f>
        <v>0.84561245882000591</v>
      </c>
    </row>
    <row r="14" spans="1:44" ht="18" x14ac:dyDescent="0.3">
      <c r="A14" s="223"/>
      <c r="B14" s="226"/>
      <c r="C14" s="226"/>
      <c r="D14" s="226"/>
      <c r="E14" s="226"/>
      <c r="F14" s="226"/>
      <c r="G14" s="226"/>
      <c r="H14" s="226"/>
      <c r="I14" s="232"/>
      <c r="J14" s="15">
        <v>5</v>
      </c>
      <c r="K14" s="226"/>
      <c r="L14" s="15">
        <f>IF(AND(E9="Cool Season Turf",F9="High"),'Landscape Coefficients'!$B$13,IF(AND(E9="Cool Season Turf",F9="Medium"),'Landscape Coefficients'!$C$13,IF(AND(E9="Cool Season Turf",F9="Low"),'Landscape Coefficients'!$D$13,IF(AND(E9="Plantings",F9="High"),'Landscape Coefficients'!$E$13,IF(AND(E9="Plantings",F9="Medium"),'Landscape Coefficients'!$F$13,IF(AND(E9="Plantings",F9="Low"),'Landscape Coefficients'!$G$13,IF(AND(E9="Native Grass",F9="High"),'Landscape Coefficients'!$H$13,IF(AND(E9="Native Grass",F9="Medium"),'Landscape Coefficients'!$I$13,IF(AND(E9="Native Grass",F9="Low"),'Landscape Coefficients'!$J$13,IF(OR(F9="No Supplemental Irrigation",F9=0),0))))))))))</f>
        <v>0.2</v>
      </c>
      <c r="M14" s="115" cm="1">
        <f t="array" ref="M14">_xlfn.IFS(K10="Fixed Spray",0.65,K10="Rotor",0.7,K10="Standard Drip",0.7,K10="Microspray",0.7,K10="Efficient Drip",0.9,OR(K10="None",K10=0),0)</f>
        <v>0.7</v>
      </c>
      <c r="N14" s="235"/>
      <c r="O14" s="229"/>
      <c r="P14" s="229"/>
      <c r="Q14" s="229"/>
      <c r="R14" s="229"/>
      <c r="S14" s="229"/>
      <c r="T14" s="249"/>
      <c r="U14" s="235"/>
      <c r="V14" s="229"/>
      <c r="W14" s="229"/>
      <c r="X14" s="229"/>
      <c r="Y14" s="229"/>
      <c r="Z14" s="229"/>
      <c r="AA14" s="229"/>
      <c r="AB14" s="116">
        <f>MAX(0,IF(L10=0,0,(1/M10)*((N9*L14)-(U9*0.5))*I9*0.6233))</f>
        <v>0</v>
      </c>
      <c r="AC14" s="44">
        <f>MAX(0,IF(L10=0,0,(1/M10)*((O9*L14)-(V9*0.5))*I9*0.6233))</f>
        <v>0</v>
      </c>
      <c r="AD14" s="44">
        <f>MAX(0,IF(L10=0,0,(1/M10)*((P9*L14)-(W9*0.5))*I9*0.6233))</f>
        <v>8904.2857142857229</v>
      </c>
      <c r="AE14" s="44">
        <f>MAX(0,IF(L10=0,0,(1/M10)*((Q9*L14)-(X9*0.5))*I9*0.6233))</f>
        <v>17808.571428571431</v>
      </c>
      <c r="AF14" s="44">
        <f>MAX(0,IF(L10=0,0,(1/M10)*((R9*L14)-(Y9*0.5))*I9*0.6233))</f>
        <v>31165.000000000007</v>
      </c>
      <c r="AG14" s="44">
        <f>MAX(0,IF(L10=0,0,(1/M10)*((S9*L14)-(Z9*0.5))*I9*0.6233))</f>
        <v>31165.000000000007</v>
      </c>
      <c r="AH14" s="117">
        <f>MAX(0,IF(L10=0,0,(1/M10)*((T9*L14)-(AA9*0.5))*I9*0.6233))</f>
        <v>6678.2142857142862</v>
      </c>
      <c r="AI14" s="116">
        <f t="shared" si="0"/>
        <v>95721.071428571449</v>
      </c>
      <c r="AJ14" s="44" cm="1">
        <f t="array" ref="AJ14">AI14*_xlfn.IFS(OR(G9="None",G9=0),0,G9="Smart Controller",0.15,G9="HE MP Nozzles",0.1,G9="PRS-CV Heads",0.05)</f>
        <v>0</v>
      </c>
      <c r="AK14" s="118">
        <f>SUM(AI9-AI14)+AJ14</f>
        <v>730151.42857142841</v>
      </c>
      <c r="AL14" s="119">
        <f>IF(I9=0,0,1-((AI14-AJ14)/AI9))</f>
        <v>0.88409703504043125</v>
      </c>
      <c r="AM14" s="246"/>
      <c r="AN14" s="241"/>
      <c r="AO14" s="243"/>
    </row>
    <row r="15" spans="1:44" ht="18.75" thickBot="1" x14ac:dyDescent="0.35">
      <c r="A15" s="224"/>
      <c r="B15" s="227"/>
      <c r="C15" s="227"/>
      <c r="D15" s="227"/>
      <c r="E15" s="227"/>
      <c r="F15" s="227"/>
      <c r="G15" s="227"/>
      <c r="H15" s="227"/>
      <c r="I15" s="233"/>
      <c r="J15" s="121">
        <v>6</v>
      </c>
      <c r="K15" s="245"/>
      <c r="L15" s="121">
        <f>IF(AND(E9="Cool Season Turf",F9="High"),'Landscape Coefficients'!$B$14,IF(AND(E9="Cool Season Turf",F9="Medium"),'Landscape Coefficients'!$C$14,IF(AND(E9="Cool Season Turf",F9="Low"),'Landscape Coefficients'!$D$14,IF(AND(E9="Plantings",F9="High"),'Landscape Coefficients'!$E$14,IF(AND(E9="Plantings",F9="Medium"),'Landscape Coefficients'!$F$14,IF(AND(E9="Plantings",F9="Low"),'Landscape Coefficients'!$G$14,IF(AND(E9="Native Grass",F9="High"),'Landscape Coefficients'!$H$14,IF(AND(E9="Native Grass",F9="Medium"),'Landscape Coefficients'!$I$14,IF(AND(E9="Native Grass",F9="Low"),'Landscape Coefficients'!$J$14,IF(OR(F9="No Supplemental Irrigation",F9=0),0))))))))))</f>
        <v>0.2</v>
      </c>
      <c r="M15" s="122" cm="1">
        <f t="array" ref="M15">_xlfn.IFS(K10="Fixed Spray",0.65,K10="Rotor",0.7,K10="Standard Drip",0.7,K10="Microspray",0.7,K10="Efficient Drip",0.9,OR(K10="None",K10=0),0)</f>
        <v>0.7</v>
      </c>
      <c r="N15" s="236"/>
      <c r="O15" s="230"/>
      <c r="P15" s="230"/>
      <c r="Q15" s="230"/>
      <c r="R15" s="230"/>
      <c r="S15" s="230"/>
      <c r="T15" s="250"/>
      <c r="U15" s="236"/>
      <c r="V15" s="230"/>
      <c r="W15" s="230"/>
      <c r="X15" s="230"/>
      <c r="Y15" s="230"/>
      <c r="Z15" s="230"/>
      <c r="AA15" s="230"/>
      <c r="AB15" s="123">
        <f>MAX(0,IF(L10=0,0,(1/M10)*((N9*L15)-(U9*0.5))*I9*0.6233))</f>
        <v>0</v>
      </c>
      <c r="AC15" s="124">
        <f>MAX(0,IF(L10=0,0,(1/M10)*((O9*L15)-(V9*0.5))*I9*0.6233))</f>
        <v>0</v>
      </c>
      <c r="AD15" s="124">
        <f>MAX(0,IF(L10=0,0,(1/M10)*((P9*L15)-(W9*0.5))*I9*0.6233))</f>
        <v>8904.2857142857229</v>
      </c>
      <c r="AE15" s="124">
        <f>MAX(0,IF(L10=0,0,(1/M10)*((Q9*L15)-(X9*0.5))*I9*0.6233))</f>
        <v>17808.571428571431</v>
      </c>
      <c r="AF15" s="124">
        <f>MAX(0,IF(L10=0,0,(1/M10)*((R9*L15)-(Y9*0.5))*I9*0.6233))</f>
        <v>31165.000000000007</v>
      </c>
      <c r="AG15" s="124">
        <f>MAX(0,IF(L10=0,0,(1/M10)*((S9*L15)-(Z9*0.5))*I9*0.6233))</f>
        <v>31165.000000000007</v>
      </c>
      <c r="AH15" s="125">
        <f>MAX(0,IF(L10=0,0,(1/M10)*((T9*L15)-(AA9*0.5))*I9*0.6233))</f>
        <v>6678.2142857142862</v>
      </c>
      <c r="AI15" s="123">
        <f t="shared" si="0"/>
        <v>95721.071428571449</v>
      </c>
      <c r="AJ15" s="124" cm="1">
        <f t="array" ref="AJ15">AI15*_xlfn.IFS(OR(G9="None",G9=0),0,G9="Smart Controller",0.15,G9="HE MP Nozzles",0.1,G9="PRS-CV Heads",0.05)</f>
        <v>0</v>
      </c>
      <c r="AK15" s="126">
        <f>SUM(AI9-AI15)+AJ15</f>
        <v>730151.42857142841</v>
      </c>
      <c r="AL15" s="127">
        <f>IF(I9=0,0,1-((AI15-AJ15)/AI9))</f>
        <v>0.88409703504043125</v>
      </c>
      <c r="AM15" s="247"/>
      <c r="AN15" s="242"/>
      <c r="AO15" s="244"/>
    </row>
    <row r="16" spans="1:44" ht="15.75" customHeight="1" x14ac:dyDescent="0.3">
      <c r="A16" s="222" t="str">
        <f>A9</f>
        <v>Test Retrofit</v>
      </c>
      <c r="B16" s="225" t="s">
        <v>86</v>
      </c>
      <c r="C16" s="225" t="str">
        <f>C9</f>
        <v>Cool Season Turf</v>
      </c>
      <c r="D16" s="225" t="str">
        <f>D9</f>
        <v>Medium</v>
      </c>
      <c r="E16" s="225" t="str">
        <f>RetrofitScenario_EnterData!E18</f>
        <v>Plantings</v>
      </c>
      <c r="F16" s="225" t="str">
        <f>RetrofitScenario_EnterData!E19</f>
        <v>Low</v>
      </c>
      <c r="G16" s="225" t="str">
        <f>RetrofitScenario_EnterData!E21</f>
        <v>None</v>
      </c>
      <c r="H16" s="225" t="str">
        <f>H9</f>
        <v>OTHER</v>
      </c>
      <c r="I16" s="231">
        <f>RetrofitScenario_EnterData!E17</f>
        <v>25000</v>
      </c>
      <c r="J16" s="98" t="s">
        <v>34</v>
      </c>
      <c r="K16" s="99" t="str">
        <f>K9</f>
        <v>Rotor</v>
      </c>
      <c r="L16" s="100">
        <f>IF(AND(C16="Cool Season Turf",D16="High"),0.8,IF(AND(C16="Cool Season Turf",D16="Medium"),0.7,IF(AND(C16="Cool Season Turf",D16="Low"),0.6,IF(AND(C16="Plantings",D16="High"),0.7,IF(AND(C16="Plantings",D16="Medium"),0.5,IF(AND(C16="Plantings",D16="Low"),0.2,IF(AND(C16="Native Grass",D16="High"),0.7,IF(AND(C16="Native Grass",D16="Medium"),0.5,IF(AND(C16="Native Grass",D16="Low"),0.2,IF(OR(C16="None",C16=0),0))))))))))</f>
        <v>0.7</v>
      </c>
      <c r="M16" s="101" cm="1">
        <f t="array" ref="M16">_xlfn.IFS(K16="Fixed Spray",0.65,K16="Rotor",0.7,K16="Standard Drip",0.7,K16="Microspray",0.7,K16="Efficient Drip",0.9,K16=0,0)</f>
        <v>0.7</v>
      </c>
      <c r="N16" s="234">
        <f>SUMIF('Consolidated ET Averages'!$A$8:$A$21, $H16,'Consolidated ET Averages'!$B$8:$B$21)</f>
        <v>2</v>
      </c>
      <c r="O16" s="228">
        <f>SUMIF('Consolidated ET Averages'!$A$8:$A$21, $H16,'Consolidated ET Averages'!$C$8:$C$21)</f>
        <v>5</v>
      </c>
      <c r="P16" s="228">
        <f>SUMIF('Consolidated ET Averages'!$A$8:$A$21, $H16,'Consolidated ET Averages'!$D$8:$D$21)</f>
        <v>6</v>
      </c>
      <c r="Q16" s="228">
        <f>SUMIF('Consolidated ET Averages'!$A$8:$A$21, $H16,'Consolidated ET Averages'!$E$8:$E$21)</f>
        <v>7</v>
      </c>
      <c r="R16" s="228">
        <f>SUMIF('Consolidated ET Averages'!$A$8:$A$21, $H16,'Consolidated ET Averages'!$F$8:$F$21)</f>
        <v>6</v>
      </c>
      <c r="S16" s="228">
        <f>SUMIF('Consolidated ET Averages'!$A$8:$A$21, $H16,'Consolidated ET Averages'!$G$8:$G$21)</f>
        <v>6</v>
      </c>
      <c r="T16" s="248">
        <f>SUMIF('Consolidated ET Averages'!$A$8:$A$21, $H16,'Consolidated ET Averages'!$H$8:$H$21)</f>
        <v>2</v>
      </c>
      <c r="U16" s="234">
        <f>SUMIF('Consolidated ET Averages'!$A$8:$A$21, $H16,'Consolidated ET Averages'!$K$8:$K$21)</f>
        <v>1</v>
      </c>
      <c r="V16" s="228">
        <f>SUMIF('Consolidated ET Averages'!$A$8:$A$21, $H16,'Consolidated ET Averages'!$L$8:$L$21)</f>
        <v>3</v>
      </c>
      <c r="W16" s="228">
        <f>SUMIF('Consolidated ET Averages'!$A$8:$A$21, $H16,'Consolidated ET Averages'!$M$8:$M$21)</f>
        <v>2</v>
      </c>
      <c r="X16" s="228">
        <f>SUMIF('Consolidated ET Averages'!$A$8:$A$21, $H16,'Consolidated ET Averages'!$N$8:$N$21)</f>
        <v>2</v>
      </c>
      <c r="Y16" s="228">
        <f>SUMIF('Consolidated ET Averages'!$A$8:$A$21, $H16,'Consolidated ET Averages'!$O$8:$O$21)</f>
        <v>1</v>
      </c>
      <c r="Z16" s="228">
        <f>SUMIF('Consolidated ET Averages'!$A$8:$A$21, $H16,'Consolidated ET Averages'!$P$8:$P$21)</f>
        <v>1</v>
      </c>
      <c r="AA16" s="228">
        <f>SUMIF('Consolidated ET Averages'!$A$8:$A$21, $H16,'Consolidated ET Averages'!$Q$8:$Q$21)</f>
        <v>0.5</v>
      </c>
      <c r="AB16" s="102">
        <f>MAX(0,IF(I16&gt;0,(1/M16)*((N16*L16)-(U16*0.5))*I16*0.6233,0))</f>
        <v>20034.642857142855</v>
      </c>
      <c r="AC16" s="103">
        <f>MAX(0,IF(I16&gt;0,(1/M16)*((O16*L16)-(V16*0.5))*I16*0.6233,0))</f>
        <v>44521.428571428572</v>
      </c>
      <c r="AD16" s="103">
        <f>MAX(0,IF(I16&gt;0,(1/M16)*((P16*L16)-(W16*0.5))*I16*0.6233,0))</f>
        <v>71234.285714285696</v>
      </c>
      <c r="AE16" s="103">
        <f>MAX(0,IF(I16&gt;0,(1/M16)*((Q16*L16)-(X16*0.5))*I16*0.6233,0))</f>
        <v>86816.78571428571</v>
      </c>
      <c r="AF16" s="103">
        <f>MAX(0,IF(I16&gt;0,(1/M16)*((R16*L16)-(Y16*0.5))*I16*0.6233,0))</f>
        <v>82364.642857142841</v>
      </c>
      <c r="AG16" s="103">
        <f>MAX(0,IF(I16&gt;0,(1/M16)*((S16*L16)-(Z16*0.5))*I16*0.6233,0))</f>
        <v>82364.642857142841</v>
      </c>
      <c r="AH16" s="104">
        <f>MAX(0,IF(I16&gt;0,(1/M16)*((T16*L16)-(AA16*0.5))*I16*0.6233,0))</f>
        <v>25599.821428571428</v>
      </c>
      <c r="AI16" s="105">
        <f>SUM(AB16:AH16)</f>
        <v>412936.24999999994</v>
      </c>
      <c r="AJ16" s="106" cm="1">
        <f t="array" ref="AJ16">AI16*_xlfn.IFS(OR(G16="None",G16=0),0,G16="Smart Controller",0.15,G16="HE MP Nozzles",0.1,G16="PRS-CV Heads",0.05)</f>
        <v>0</v>
      </c>
      <c r="AK16" s="107">
        <v>0</v>
      </c>
      <c r="AL16" s="108">
        <v>0</v>
      </c>
      <c r="AM16" s="109">
        <f>SUM(AK17:AK22)</f>
        <v>2039576.1111111105</v>
      </c>
      <c r="AN16" s="110">
        <f>IF(ISNA(AVERAGE(AK18:AK22))=TRUE,0,AVERAGE(AK18:AK22))</f>
        <v>366015.61111111101</v>
      </c>
      <c r="AO16" s="111">
        <f>IF(ISNA(AVERAGE(AL18:AL22))=TRUE,0,AVERAGE(AL18:AL22))</f>
        <v>0.88637316561844859</v>
      </c>
      <c r="AP16" s="112"/>
      <c r="AR16" s="128"/>
    </row>
    <row r="17" spans="1:42" ht="18" x14ac:dyDescent="0.3">
      <c r="A17" s="223"/>
      <c r="B17" s="226"/>
      <c r="C17" s="226"/>
      <c r="D17" s="226"/>
      <c r="E17" s="226"/>
      <c r="F17" s="226"/>
      <c r="G17" s="226"/>
      <c r="H17" s="226"/>
      <c r="I17" s="232"/>
      <c r="J17" s="15">
        <v>1</v>
      </c>
      <c r="K17" s="226" t="str">
        <f>RetrofitScenario_EnterData!E20</f>
        <v>Efficient Drip</v>
      </c>
      <c r="L17" s="15">
        <f>IF(AND(C16=E16,D16=F16),L16,IF(AND(E16="Cool Season Turf",F16="High"),'Landscape Coefficients'!$B$9,IF(AND(E16="Cool Season Turf",F16="Medium"),'Landscape Coefficients'!$C$9,IF(AND(E16="Cool Season Turf",F16="Low"),'Landscape Coefficients'!$D$9,IF(AND(E16="Plantings",F16="High"),'Landscape Coefficients'!$E$9,IF(AND(E16="Plantings",F16="Medium"),'Landscape Coefficients'!$F$9,IF(AND(E16="Plantings",F16="Low"),'Landscape Coefficients'!$G$9,IF(AND(E16="Native Grass",F16="High"),'Landscape Coefficients'!$H$9,IF(AND(E16="Native Grass",F16="Medium"),'Landscape Coefficients'!$I$9,IF(AND(E16="Native Grass",F16="Low"),'Landscape Coefficients'!$J$9,IF(OR(F16="No Supplemental Irrigation",F16=0),0)))))))))))</f>
        <v>0.5</v>
      </c>
      <c r="M17" s="115" cm="1">
        <f t="array" ref="M17">_xlfn.IFS(K17="Fixed Spray",0.65,K17="Rotor",0.7,K17="Standard Drip",0.7,K17="Microspray",0.7,K17="Efficient Drip",0.9,OR(K17="None",K17=0),0)</f>
        <v>0.9</v>
      </c>
      <c r="N17" s="235"/>
      <c r="O17" s="229"/>
      <c r="P17" s="229"/>
      <c r="Q17" s="229"/>
      <c r="R17" s="229"/>
      <c r="S17" s="229"/>
      <c r="T17" s="249"/>
      <c r="U17" s="235"/>
      <c r="V17" s="229"/>
      <c r="W17" s="229"/>
      <c r="X17" s="229"/>
      <c r="Y17" s="229"/>
      <c r="Z17" s="229"/>
      <c r="AA17" s="229"/>
      <c r="AB17" s="116">
        <f>MAX(0,IF(L17=0,0,(1/M17)*((N16*L17)-(U16*0.5))*I16*0.6233))</f>
        <v>8656.9444444444434</v>
      </c>
      <c r="AC17" s="44">
        <f>MAX(0,IF(L17=0,0,(1/M17)*((O16*L17)-(V16*0.5))*I16*0.6233))</f>
        <v>17313.888888888887</v>
      </c>
      <c r="AD17" s="44">
        <f>MAX(0,IF(L17=0,0,(1/M17)*((P16*L17)-(W16*0.5))*I16*0.6233))</f>
        <v>34627.777777777774</v>
      </c>
      <c r="AE17" s="44">
        <f>MAX(0,IF(L17=0,0,(1/M17)*((Q16*L17)-(X16*0.5))*I16*0.6233))</f>
        <v>43284.722222222219</v>
      </c>
      <c r="AF17" s="44">
        <f>MAX(0,IF(L17=0,0,(1/M17)*((R16*L17)-(Y16*0.5))*I16*0.6233))</f>
        <v>43284.722222222219</v>
      </c>
      <c r="AG17" s="44">
        <f>MAX(0,IF(L17=0,0,(1/M17)*((S16*L17)-(Z16*0.5))*I16*0.6233))</f>
        <v>43284.722222222219</v>
      </c>
      <c r="AH17" s="117">
        <f>MAX(0,IF(L17=0,0,(1/M17)*((T16*L17)-(AA16*0.5))*I16*0.6233))</f>
        <v>12985.416666666668</v>
      </c>
      <c r="AI17" s="116">
        <f>SUM(AB17:AH17)</f>
        <v>203438.19444444441</v>
      </c>
      <c r="AJ17" s="44" cm="1">
        <f t="array" ref="AJ17">AI17*_xlfn.IFS(OR(G16="None",G16=0),0,G16="Smart Controller",0.15,G16="HE MP Nozzles",0.1,G16="PRS-CV Heads",0.05)</f>
        <v>0</v>
      </c>
      <c r="AK17" s="118">
        <f>SUM(AI16-AI17)+AJ17</f>
        <v>209498.05555555553</v>
      </c>
      <c r="AL17" s="119">
        <f>IF(I16=0,0,1-((AI17-AJ17)/AI16))</f>
        <v>0.5073375262054507</v>
      </c>
      <c r="AM17" s="246"/>
      <c r="AN17" s="241"/>
      <c r="AO17" s="243"/>
    </row>
    <row r="18" spans="1:42" ht="18" x14ac:dyDescent="0.3">
      <c r="A18" s="223"/>
      <c r="B18" s="226"/>
      <c r="C18" s="226"/>
      <c r="D18" s="226"/>
      <c r="E18" s="226"/>
      <c r="F18" s="226"/>
      <c r="G18" s="226"/>
      <c r="H18" s="226"/>
      <c r="I18" s="232"/>
      <c r="J18" s="15">
        <v>2</v>
      </c>
      <c r="K18" s="226"/>
      <c r="L18" s="15">
        <f>IF(AND(E16="Cool Season Turf",F16="High"),'Landscape Coefficients'!$B$10,IF(AND(E16="Cool Season Turf",F16="Medium"),'Landscape Coefficients'!$C$10,IF(AND(E16="Cool Season Turf",F16="Low"),'Landscape Coefficients'!$D$10,IF(AND(E16="Plantings",F16="High"),'Landscape Coefficients'!$E$10,IF(AND(E16="Plantings",F16="Medium"),'Landscape Coefficients'!$F$10,IF(AND(E16="Plantings",F16="Low"),'Landscape Coefficients'!$G$10,IF(AND(E16="Native Grass",F16="High"),'Landscape Coefficients'!$H$10,IF(AND(E16="Native Grass",F16="Medium"),'Landscape Coefficients'!$I$10,IF(AND(E16="Native Grass",F16="Low"),'Landscape Coefficients'!$J$10,IF(OR(F16="No Supplemental Irrigation",F16=0),0))))))))))</f>
        <v>0.3</v>
      </c>
      <c r="M18" s="115" cm="1">
        <f t="array" ref="M18">_xlfn.IFS(K17="Fixed Spray",0.65,K17="Rotor",0.7,K17="Standard Drip",0.7,K17="Microspray",0.7,K17="Efficient Drip",0.9,OR(K17="None",K17=0),0)</f>
        <v>0.9</v>
      </c>
      <c r="N18" s="235"/>
      <c r="O18" s="229"/>
      <c r="P18" s="229"/>
      <c r="Q18" s="229"/>
      <c r="R18" s="229"/>
      <c r="S18" s="229"/>
      <c r="T18" s="249"/>
      <c r="U18" s="235"/>
      <c r="V18" s="229"/>
      <c r="W18" s="229"/>
      <c r="X18" s="229"/>
      <c r="Y18" s="229"/>
      <c r="Z18" s="229"/>
      <c r="AA18" s="229"/>
      <c r="AB18" s="116">
        <f>MAX(0,IF(L17=0,0,(1/M17)*((N16*L18)-(U16*0.5))*I16*0.6233))</f>
        <v>1731.3888888888885</v>
      </c>
      <c r="AC18" s="44">
        <f>MAX(0,IF(L17=0,0,(1/M17)*((O16*L18)-(V16*0.5))*I16*0.6233))</f>
        <v>0</v>
      </c>
      <c r="AD18" s="44">
        <f>MAX(0,IF(L17=0,0,(1/M17)*((P16*L18)-(W16*0.5))*I16*0.6233))</f>
        <v>13851.111111111108</v>
      </c>
      <c r="AE18" s="44">
        <f>MAX(0,IF(L17=0,0,(1/M17)*((Q16*L18)-(X16*0.5))*I16*0.6233))</f>
        <v>19045.277777777777</v>
      </c>
      <c r="AF18" s="44">
        <f>MAX(0,IF(L17=0,0,(1/M17)*((R16*L18)-(Y16*0.5))*I16*0.6233))</f>
        <v>22508.055555555555</v>
      </c>
      <c r="AG18" s="44">
        <f>MAX(0,IF(L17=0,0,(1/M17)*((S16*L18)-(Z16*0.5))*I16*0.6233))</f>
        <v>22508.055555555555</v>
      </c>
      <c r="AH18" s="117">
        <f>MAX(0,IF(L17=0,0,(1/M17)*((T16*L18)-(AA16*0.5))*I16*0.6233))</f>
        <v>6059.8611111111113</v>
      </c>
      <c r="AI18" s="116">
        <f t="shared" ref="AI18:AI22" si="1">SUM(AB18:AH18)</f>
        <v>85703.749999999985</v>
      </c>
      <c r="AJ18" s="44" cm="1">
        <f t="array" ref="AJ18">AI18*_xlfn.IFS(OR(G16="None",G16=0),0,G16="Smart Controller",0.15,G16="HE MP Nozzles",0.1,G16="PRS-CV Heads",0.05)</f>
        <v>0</v>
      </c>
      <c r="AK18" s="118">
        <f>SUM(AI16-AI18)+AJ18</f>
        <v>327232.49999999994</v>
      </c>
      <c r="AL18" s="119">
        <f>IF(I16=0,0,1-((AI18-AJ18)/AI16))</f>
        <v>0.79245283018867929</v>
      </c>
      <c r="AM18" s="246"/>
      <c r="AN18" s="241"/>
      <c r="AO18" s="243"/>
    </row>
    <row r="19" spans="1:42" ht="18" x14ac:dyDescent="0.3">
      <c r="A19" s="223"/>
      <c r="B19" s="226"/>
      <c r="C19" s="226"/>
      <c r="D19" s="226"/>
      <c r="E19" s="226"/>
      <c r="F19" s="226"/>
      <c r="G19" s="226"/>
      <c r="H19" s="226"/>
      <c r="I19" s="232"/>
      <c r="J19" s="15">
        <v>3</v>
      </c>
      <c r="K19" s="226"/>
      <c r="L19" s="15">
        <f>IF(AND(E16="Cool Season Turf",F16="High"),'Landscape Coefficients'!$B$11,IF(AND(E16="Cool Season Turf",F16="Medium"),'Landscape Coefficients'!$C$11,IF(AND(E16="Cool Season Turf",F16="Low"),'Landscape Coefficients'!$D$11,IF(AND(E16="Plantings",F16="High"),'Landscape Coefficients'!$E$11,IF(AND(E16="Plantings",F16="Medium"),'Landscape Coefficients'!$F$11,IF(AND(E16="Plantings",F16="Low"),'Landscape Coefficients'!$G$11,IF(AND(E16="Native Grass",F16="High"),'Landscape Coefficients'!$H$11,IF(AND(E16="Native Grass",F16="Medium"),'Landscape Coefficients'!$I$11,IF(AND(E16="Native Grass",F16="Low"),'Landscape Coefficients'!$J$11,IF(OR(F16="No Supplemental Irrigation",F16=0),0))))))))))</f>
        <v>0.2</v>
      </c>
      <c r="M19" s="115" cm="1">
        <f t="array" ref="M19">_xlfn.IFS(K17="Fixed Spray",0.65,K17="Rotor",0.7,K17="Standard Drip",0.7,K17="Microspray",0.7,K17="Efficient Drip",0.9,OR(K17="None",K17=0),0)</f>
        <v>0.9</v>
      </c>
      <c r="N19" s="235"/>
      <c r="O19" s="229"/>
      <c r="P19" s="229"/>
      <c r="Q19" s="229"/>
      <c r="R19" s="229"/>
      <c r="S19" s="229"/>
      <c r="T19" s="249"/>
      <c r="U19" s="235"/>
      <c r="V19" s="229"/>
      <c r="W19" s="229"/>
      <c r="X19" s="229"/>
      <c r="Y19" s="229"/>
      <c r="Z19" s="229"/>
      <c r="AA19" s="229"/>
      <c r="AB19" s="116">
        <f>MAX(0,IF(L17=0,0,(1/M17)*((N16*L19)-(U16*0.5))*I16*0.6233))</f>
        <v>0</v>
      </c>
      <c r="AC19" s="44">
        <f>MAX(0,IF(L17=0,0,(1/M17)*((O16*L19)-(V16*0.5))*I16*0.6233))</f>
        <v>0</v>
      </c>
      <c r="AD19" s="44">
        <f>MAX(0,IF(L17=0,0,(1/M17)*((P16*L19)-(W16*0.5))*I16*0.6233))</f>
        <v>3462.777777777781</v>
      </c>
      <c r="AE19" s="44">
        <f>MAX(0,IF(L17=0,0,(1/M17)*((Q16*L19)-(X16*0.5))*I16*0.6233))</f>
        <v>6925.5555555555575</v>
      </c>
      <c r="AF19" s="44">
        <f>MAX(0,IF(L17=0,0,(1/M17)*((R16*L19)-(Y16*0.5))*I16*0.6233))</f>
        <v>12119.722222222224</v>
      </c>
      <c r="AG19" s="44">
        <f>MAX(0,IF(L17=0,0,(1/M17)*((S16*L19)-(Z16*0.5))*I16*0.6233))</f>
        <v>12119.722222222224</v>
      </c>
      <c r="AH19" s="117">
        <f>MAX(0,IF(L17=0,0,(1/M17)*((T16*L19)-(AA16*0.5))*I16*0.6233))</f>
        <v>2597.0833333333335</v>
      </c>
      <c r="AI19" s="116">
        <f t="shared" si="1"/>
        <v>37224.861111111124</v>
      </c>
      <c r="AJ19" s="44" cm="1">
        <f t="array" ref="AJ19">AI19*_xlfn.IFS(OR(G16="None",G16=0),0,G16="Smart Controller",0.15,G16="HE MP Nozzles",0.1,G16="PRS-CV Heads",0.05)</f>
        <v>0</v>
      </c>
      <c r="AK19" s="118">
        <f>SUM(AI16-AI19)+AJ19</f>
        <v>375711.38888888882</v>
      </c>
      <c r="AL19" s="119">
        <f>IF(I16=0,0,1-((AI19-AJ19)/AI16))</f>
        <v>0.90985324947589097</v>
      </c>
      <c r="AM19" s="246"/>
      <c r="AN19" s="241"/>
      <c r="AO19" s="243"/>
    </row>
    <row r="20" spans="1:42" ht="18" x14ac:dyDescent="0.3">
      <c r="A20" s="223"/>
      <c r="B20" s="226"/>
      <c r="C20" s="226"/>
      <c r="D20" s="226"/>
      <c r="E20" s="226"/>
      <c r="F20" s="226"/>
      <c r="G20" s="226"/>
      <c r="H20" s="226"/>
      <c r="I20" s="232"/>
      <c r="J20" s="15">
        <v>4</v>
      </c>
      <c r="K20" s="226"/>
      <c r="L20" s="15">
        <f>IF(AND(E16="Cool Season Turf",F16="High"),'Landscape Coefficients'!$B$12,IF(AND(E16="Cool Season Turf",F16="Medium"),'Landscape Coefficients'!$C$12,IF(AND(E16="Cool Season Turf",F16="Low"),'Landscape Coefficients'!$D$12,IF(AND(E16="Plantings",F16="High"),'Landscape Coefficients'!$E$12,IF(AND(E16="Plantings",F16="Medium"),'Landscape Coefficients'!$F$12,IF(AND(E16="Plantings",F16="Low"),'Landscape Coefficients'!$G$12,IF(AND(E16="Native Grass",F16="High"),'Landscape Coefficients'!$H$12,IF(AND(E16="Native Grass",F16="Medium"),'Landscape Coefficients'!$I$12,IF(AND(E16="Native Grass",F16="Low"),'Landscape Coefficients'!$J$12,IF(OR(F16="No Supplemental Irrigation",F16=0),0))))))))))</f>
        <v>0.2</v>
      </c>
      <c r="M20" s="115" cm="1">
        <f t="array" ref="M20">_xlfn.IFS(K17="Fixed Spray",0.65,K17="Rotor",0.7,K17="Standard Drip",0.7,K17="Microspray",0.7,K17="Efficient Drip",0.9,OR(K17="None",K17=0),0)</f>
        <v>0.9</v>
      </c>
      <c r="N20" s="235"/>
      <c r="O20" s="229"/>
      <c r="P20" s="229"/>
      <c r="Q20" s="229"/>
      <c r="R20" s="229"/>
      <c r="S20" s="229"/>
      <c r="T20" s="249"/>
      <c r="U20" s="235"/>
      <c r="V20" s="229"/>
      <c r="W20" s="229"/>
      <c r="X20" s="229"/>
      <c r="Y20" s="229"/>
      <c r="Z20" s="229"/>
      <c r="AA20" s="229"/>
      <c r="AB20" s="116">
        <f>MAX(0,IF(L17=0,0,(1/M17)*((N16*L20)-(U16*0.5))*I16*0.6233))</f>
        <v>0</v>
      </c>
      <c r="AC20" s="44">
        <f>MAX(0,IF(L17=0,0,(1/M17)*((O16*L20)-(V16*0.5))*I16*0.6233))</f>
        <v>0</v>
      </c>
      <c r="AD20" s="44">
        <f>MAX(0,IF(L17=0,0,(1/M17)*((P16*L20)-(W16*0.5))*I16*0.6233))</f>
        <v>3462.777777777781</v>
      </c>
      <c r="AE20" s="44">
        <f>MAX(0,IF(L17=0,0,(1/M17)*((Q16*L20)-(X16*0.5))*I16*0.6233))</f>
        <v>6925.5555555555575</v>
      </c>
      <c r="AF20" s="44">
        <f>MAX(0,IF(L17=0,0,(1/M17)*((R16*L20)-(Y16*0.5))*I16*0.6233))</f>
        <v>12119.722222222224</v>
      </c>
      <c r="AG20" s="44">
        <f>MAX(0,IF(L17=0,0,(1/M17)*((S16*L20)-(Z16*0.5))*I16*0.6233))</f>
        <v>12119.722222222224</v>
      </c>
      <c r="AH20" s="117">
        <f>MAX(0,IF(L17=0,0,(1/M17)*((T16*L20)-(AA16*0.5))*I16*0.6233))</f>
        <v>2597.0833333333335</v>
      </c>
      <c r="AI20" s="116">
        <f t="shared" si="1"/>
        <v>37224.861111111124</v>
      </c>
      <c r="AJ20" s="44" cm="1">
        <f t="array" ref="AJ20">AI20*_xlfn.IFS(OR(G16="None",G16=0),0,G16="Smart Controller",0.15,G16="HE MP Nozzles",0.1,G16="PRS-CV Heads",0.05)</f>
        <v>0</v>
      </c>
      <c r="AK20" s="118">
        <f>SUM(AI16-AI20)+AJ20</f>
        <v>375711.38888888882</v>
      </c>
      <c r="AL20" s="119">
        <f>IF(I16=0,0,1-((AI20-AJ20)/AI16))</f>
        <v>0.90985324947589097</v>
      </c>
      <c r="AM20" s="246"/>
      <c r="AN20" s="241"/>
      <c r="AO20" s="243"/>
    </row>
    <row r="21" spans="1:42" ht="18" x14ac:dyDescent="0.3">
      <c r="A21" s="223"/>
      <c r="B21" s="226"/>
      <c r="C21" s="226"/>
      <c r="D21" s="226"/>
      <c r="E21" s="226"/>
      <c r="F21" s="226"/>
      <c r="G21" s="226"/>
      <c r="H21" s="226"/>
      <c r="I21" s="232"/>
      <c r="J21" s="15">
        <v>5</v>
      </c>
      <c r="K21" s="226"/>
      <c r="L21" s="15">
        <f>IF(AND(E16="Cool Season Turf",F16="High"),'Landscape Coefficients'!$B$13,IF(AND(E16="Cool Season Turf",F16="Medium"),'Landscape Coefficients'!$C$13,IF(AND(E16="Cool Season Turf",F16="Low"),'Landscape Coefficients'!$D$13,IF(AND(E16="Plantings",F16="High"),'Landscape Coefficients'!$E$13,IF(AND(E16="Plantings",F16="Medium"),'Landscape Coefficients'!$F$13,IF(AND(E16="Plantings",F16="Low"),'Landscape Coefficients'!$G$13,IF(AND(E16="Native Grass",F16="High"),'Landscape Coefficients'!$H$13,IF(AND(E16="Native Grass",F16="Medium"),'Landscape Coefficients'!$I$13,IF(AND(E16="Native Grass",F16="Low"),'Landscape Coefficients'!$J$13,IF(OR(F16="No Supplemental Irrigation",F16=0),0))))))))))</f>
        <v>0.2</v>
      </c>
      <c r="M21" s="115" cm="1">
        <f t="array" ref="M21">_xlfn.IFS(K17="Fixed Spray",0.65,K17="Rotor",0.7,K17="Standard Drip",0.7,K17="Microspray",0.7,K17="Efficient Drip",0.9,OR(K17="None",K17=0),0)</f>
        <v>0.9</v>
      </c>
      <c r="N21" s="235"/>
      <c r="O21" s="229"/>
      <c r="P21" s="229"/>
      <c r="Q21" s="229"/>
      <c r="R21" s="229"/>
      <c r="S21" s="229"/>
      <c r="T21" s="249"/>
      <c r="U21" s="235"/>
      <c r="V21" s="229"/>
      <c r="W21" s="229"/>
      <c r="X21" s="229"/>
      <c r="Y21" s="229"/>
      <c r="Z21" s="229"/>
      <c r="AA21" s="229"/>
      <c r="AB21" s="116">
        <f>MAX(0,IF(L17=0,0,(1/M17)*((N16*L21)-(U16*0.5))*I16*0.6233))</f>
        <v>0</v>
      </c>
      <c r="AC21" s="44">
        <f>MAX(0,IF(L17=0,0,(1/M17)*((O16*L21)-(V16*0.5))*I16*0.6233))</f>
        <v>0</v>
      </c>
      <c r="AD21" s="44">
        <f>MAX(0,IF(L17=0,0,(1/M17)*((P16*L21)-(W16*0.5))*I16*0.6233))</f>
        <v>3462.777777777781</v>
      </c>
      <c r="AE21" s="44">
        <f>MAX(0,IF(L17=0,0,(1/M17)*((Q16*L21)-(X16*0.5))*I16*0.6233))</f>
        <v>6925.5555555555575</v>
      </c>
      <c r="AF21" s="44">
        <f>MAX(0,IF(L17=0,0,(1/M17)*((R16*L21)-(Y16*0.5))*I16*0.6233))</f>
        <v>12119.722222222224</v>
      </c>
      <c r="AG21" s="44">
        <f>MAX(0,IF(L17=0,0,(1/M17)*((S16*L21)-(Z16*0.5))*I16*0.6233))</f>
        <v>12119.722222222224</v>
      </c>
      <c r="AH21" s="117">
        <f>MAX(0,IF(L17=0,0,(1/M17)*((T16*L21)-(AA16*0.5))*I16*0.6233))</f>
        <v>2597.0833333333335</v>
      </c>
      <c r="AI21" s="116">
        <f t="shared" si="1"/>
        <v>37224.861111111124</v>
      </c>
      <c r="AJ21" s="44" cm="1">
        <f t="array" ref="AJ21">AI21*_xlfn.IFS(OR(G16="None",G16=0),0,G16="Smart Controller",0.15,G16="HE MP Nozzles",0.1,G16="PRS-CV Heads",0.05)</f>
        <v>0</v>
      </c>
      <c r="AK21" s="118">
        <f>SUM(AI16-AI21)+AJ21</f>
        <v>375711.38888888882</v>
      </c>
      <c r="AL21" s="119">
        <f>IF(I16=0,0,1-((AI21-AJ21)/AI16))</f>
        <v>0.90985324947589097</v>
      </c>
      <c r="AM21" s="246"/>
      <c r="AN21" s="241"/>
      <c r="AO21" s="243"/>
    </row>
    <row r="22" spans="1:42" ht="18.75" thickBot="1" x14ac:dyDescent="0.35">
      <c r="A22" s="224"/>
      <c r="B22" s="227"/>
      <c r="C22" s="227"/>
      <c r="D22" s="227"/>
      <c r="E22" s="227"/>
      <c r="F22" s="227"/>
      <c r="G22" s="227"/>
      <c r="H22" s="227"/>
      <c r="I22" s="233"/>
      <c r="J22" s="121">
        <v>6</v>
      </c>
      <c r="K22" s="245"/>
      <c r="L22" s="121">
        <f>IF(AND(E16="Cool Season Turf",F16="High"),'Landscape Coefficients'!$B$14,IF(AND(E16="Cool Season Turf",F16="Medium"),'Landscape Coefficients'!$C$14,IF(AND(E16="Cool Season Turf",F16="Low"),'Landscape Coefficients'!$D$14,IF(AND(E16="Plantings",F16="High"),'Landscape Coefficients'!$E$14,IF(AND(E16="Plantings",F16="Medium"),'Landscape Coefficients'!$F$14,IF(AND(E16="Plantings",F16="Low"),'Landscape Coefficients'!$G$14,IF(AND(E16="Native Grass",F16="High"),'Landscape Coefficients'!$H$14,IF(AND(E16="Native Grass",F16="Medium"),'Landscape Coefficients'!$I$14,IF(AND(E16="Native Grass",F16="Low"),'Landscape Coefficients'!$J$14,IF(OR(F16="No Supplemental Irrigation",F16=0),0))))))))))</f>
        <v>0.2</v>
      </c>
      <c r="M22" s="122" cm="1">
        <f t="array" ref="M22">_xlfn.IFS(K17="Fixed Spray",0.65,K17="Rotor",0.7,K17="Standard Drip",0.7,K17="Microspray",0.7,K17="Efficient Drip",0.9,OR(K17="None",K17=0),0)</f>
        <v>0.9</v>
      </c>
      <c r="N22" s="236"/>
      <c r="O22" s="230"/>
      <c r="P22" s="230"/>
      <c r="Q22" s="230"/>
      <c r="R22" s="230"/>
      <c r="S22" s="230"/>
      <c r="T22" s="250"/>
      <c r="U22" s="236"/>
      <c r="V22" s="230"/>
      <c r="W22" s="230"/>
      <c r="X22" s="230"/>
      <c r="Y22" s="230"/>
      <c r="Z22" s="230"/>
      <c r="AA22" s="230"/>
      <c r="AB22" s="123">
        <f>MAX(0,IF(L17=0,0,(1/M17)*((N16*L22)-(U16*0.5))*I16*0.6233))</f>
        <v>0</v>
      </c>
      <c r="AC22" s="124">
        <f>MAX(0,IF(L17=0,0,(1/M17)*((O16*L22)-(V16*0.5))*I16*0.6233))</f>
        <v>0</v>
      </c>
      <c r="AD22" s="124">
        <f>MAX(0,IF(L17=0,0,(1/M17)*((P16*L22)-(W16*0.5))*I16*0.6233))</f>
        <v>3462.777777777781</v>
      </c>
      <c r="AE22" s="124">
        <f>MAX(0,IF(L17=0,0,(1/M17)*((Q16*L22)-(X16*0.5))*I16*0.6233))</f>
        <v>6925.5555555555575</v>
      </c>
      <c r="AF22" s="124">
        <f>MAX(0,IF(L17=0,0,(1/M17)*((R16*L22)-(Y16*0.5))*I16*0.6233))</f>
        <v>12119.722222222224</v>
      </c>
      <c r="AG22" s="124">
        <f>MAX(0,IF(L17=0,0,(1/M17)*((S16*L22)-(Z16*0.5))*I16*0.6233))</f>
        <v>12119.722222222224</v>
      </c>
      <c r="AH22" s="125">
        <f>MAX(0,IF(L17=0,0,(1/M17)*((T16*L22)-(AA16*0.5))*I16*0.6233))</f>
        <v>2597.0833333333335</v>
      </c>
      <c r="AI22" s="123">
        <f t="shared" si="1"/>
        <v>37224.861111111124</v>
      </c>
      <c r="AJ22" s="124" cm="1">
        <f t="array" ref="AJ22">AI22*_xlfn.IFS(OR(G16="None",G16=0),0,G16="Smart Controller",0.15,G16="HE MP Nozzles",0.1,G16="PRS-CV Heads",0.05)</f>
        <v>0</v>
      </c>
      <c r="AK22" s="126">
        <f>SUM(AI16-AI22)+AJ22</f>
        <v>375711.38888888882</v>
      </c>
      <c r="AL22" s="127">
        <f>IF(I16=0,0,1-((AI22-AJ22)/AI16))</f>
        <v>0.90985324947589097</v>
      </c>
      <c r="AM22" s="247"/>
      <c r="AN22" s="242"/>
      <c r="AO22" s="244"/>
    </row>
    <row r="23" spans="1:42" ht="15.75" customHeight="1" x14ac:dyDescent="0.3">
      <c r="A23" s="222" t="str">
        <f>A16</f>
        <v>Test Retrofit</v>
      </c>
      <c r="B23" s="225" t="s">
        <v>87</v>
      </c>
      <c r="C23" s="225" t="str">
        <f>C16</f>
        <v>Cool Season Turf</v>
      </c>
      <c r="D23" s="225" t="str">
        <f>D16</f>
        <v>Medium</v>
      </c>
      <c r="E23" s="225" t="str">
        <f>RetrofitScenario_EnterData!E24</f>
        <v>Plantings</v>
      </c>
      <c r="F23" s="225" t="str">
        <f>RetrofitScenario_EnterData!E25</f>
        <v>Medium</v>
      </c>
      <c r="G23" s="225" t="str">
        <f>RetrofitScenario_EnterData!E27</f>
        <v>None</v>
      </c>
      <c r="H23" s="225" t="str">
        <f>H16</f>
        <v>OTHER</v>
      </c>
      <c r="I23" s="231">
        <f>RetrofitScenario_EnterData!E23</f>
        <v>15000</v>
      </c>
      <c r="J23" s="98" t="s">
        <v>34</v>
      </c>
      <c r="K23" s="99" t="str">
        <f>K16</f>
        <v>Rotor</v>
      </c>
      <c r="L23" s="100">
        <f>IF(AND(C23="Cool Season Turf",D23="High"),0.8,IF(AND(C23="Cool Season Turf",D23="Medium"),0.7,IF(AND(C23="Cool Season Turf",D23="Low"),0.6,IF(AND(C23="Plantings",D23="High"),0.7,IF(AND(C23="Plantings",D23="Medium"),0.5,IF(AND(C23="Plantings",D23="Low"),0.2,IF(AND(C23="Native Grass",D23="High"),0.7,IF(AND(C23="Native Grass",D23="Medium"),0.5,IF(AND(C23="Native Grass",D23="Low"),0.2,IF(OR(C23="None",C23=0),0))))))))))</f>
        <v>0.7</v>
      </c>
      <c r="M23" s="101" cm="1">
        <f t="array" ref="M23">_xlfn.IFS(K23="Fixed Spray",0.65,K23="Rotor",0.7,K23="Standard Drip",0.7,K23="Microspray",0.7,K23="Efficient Drip",0.9,K23=0,0)</f>
        <v>0.7</v>
      </c>
      <c r="N23" s="234">
        <f>SUMIF('Consolidated ET Averages'!$A$8:$A$21, $H23,'Consolidated ET Averages'!$B$8:$B$21)</f>
        <v>2</v>
      </c>
      <c r="O23" s="228">
        <f>SUMIF('Consolidated ET Averages'!$A$8:$A$21, $H23,'Consolidated ET Averages'!$C$8:$C$21)</f>
        <v>5</v>
      </c>
      <c r="P23" s="228">
        <f>SUMIF('Consolidated ET Averages'!$A$8:$A$21, $H23,'Consolidated ET Averages'!$D$8:$D$21)</f>
        <v>6</v>
      </c>
      <c r="Q23" s="228">
        <f>SUMIF('Consolidated ET Averages'!$A$8:$A$21, $H23,'Consolidated ET Averages'!$E$8:$E$21)</f>
        <v>7</v>
      </c>
      <c r="R23" s="228">
        <f>SUMIF('Consolidated ET Averages'!$A$8:$A$21, $H23,'Consolidated ET Averages'!$F$8:$F$21)</f>
        <v>6</v>
      </c>
      <c r="S23" s="228">
        <f>SUMIF('Consolidated ET Averages'!$A$8:$A$21, $H23,'Consolidated ET Averages'!$G$8:$G$21)</f>
        <v>6</v>
      </c>
      <c r="T23" s="248">
        <f>SUMIF('Consolidated ET Averages'!$A$8:$A$21, $H23,'Consolidated ET Averages'!$H$8:$H$21)</f>
        <v>2</v>
      </c>
      <c r="U23" s="234">
        <f>SUMIF('Consolidated ET Averages'!$A$8:$A$21, $H23,'Consolidated ET Averages'!$K$8:$K$21)</f>
        <v>1</v>
      </c>
      <c r="V23" s="228">
        <f>SUMIF('Consolidated ET Averages'!$A$8:$A$21, $H23,'Consolidated ET Averages'!$L$8:$L$21)</f>
        <v>3</v>
      </c>
      <c r="W23" s="228">
        <f>SUMIF('Consolidated ET Averages'!$A$8:$A$21, $H23,'Consolidated ET Averages'!$M$8:$M$21)</f>
        <v>2</v>
      </c>
      <c r="X23" s="228">
        <f>SUMIF('Consolidated ET Averages'!$A$8:$A$21, $H23,'Consolidated ET Averages'!$N$8:$N$21)</f>
        <v>2</v>
      </c>
      <c r="Y23" s="228">
        <f>SUMIF('Consolidated ET Averages'!$A$8:$A$21, $H23,'Consolidated ET Averages'!$O$8:$O$21)</f>
        <v>1</v>
      </c>
      <c r="Z23" s="228">
        <f>SUMIF('Consolidated ET Averages'!$A$8:$A$21, $H23,'Consolidated ET Averages'!$P$8:$P$21)</f>
        <v>1</v>
      </c>
      <c r="AA23" s="228">
        <f>SUMIF('Consolidated ET Averages'!$A$8:$A$21, $H23,'Consolidated ET Averages'!$Q$8:$Q$21)</f>
        <v>0.5</v>
      </c>
      <c r="AB23" s="102">
        <f>MAX(0,IF(I23&gt;0,(1/M23)*((N23*L23)-(U23*0.5))*I23*0.6233,0))</f>
        <v>12020.785714285712</v>
      </c>
      <c r="AC23" s="103">
        <f>MAX(0,IF(I23&gt;0,(1/M23)*((O23*L23)-(V23*0.5))*I23*0.6233,0))</f>
        <v>26712.857142857141</v>
      </c>
      <c r="AD23" s="103">
        <f>MAX(0,IF(I23&gt;0,(1/M23)*((P23*L23)-(W23*0.5))*I23*0.6233,0))</f>
        <v>42740.571428571413</v>
      </c>
      <c r="AE23" s="103">
        <f>MAX(0,IF(I23&gt;0,(1/M23)*((Q23*L23)-(X23*0.5))*I23*0.6233,0))</f>
        <v>52090.07142857142</v>
      </c>
      <c r="AF23" s="103">
        <f>MAX(0,IF(I23&gt;0,(1/M23)*((R23*L23)-(Y23*0.5))*I23*0.6233,0))</f>
        <v>49418.785714285703</v>
      </c>
      <c r="AG23" s="103">
        <f>MAX(0,IF(I23&gt;0,(1/M23)*((S23*L23)-(Z23*0.5))*I23*0.6233,0))</f>
        <v>49418.785714285703</v>
      </c>
      <c r="AH23" s="104">
        <f>MAX(0,IF(I23&gt;0,(1/M23)*((T23*L23)-(AA23*0.5))*I23*0.6233,0))</f>
        <v>15359.892857142855</v>
      </c>
      <c r="AI23" s="105">
        <f>SUM(AB23:AH23)</f>
        <v>247761.74999999994</v>
      </c>
      <c r="AJ23" s="106" cm="1">
        <f t="array" ref="AJ23">AI23*_xlfn.IFS(OR(G23="None",G23=0),0,G23="Smart Controller",0.15,G23="HE MP Nozzles",0.1,G23="PRS-CV Heads",0.05)</f>
        <v>0</v>
      </c>
      <c r="AK23" s="107">
        <v>0</v>
      </c>
      <c r="AL23" s="108">
        <v>0</v>
      </c>
      <c r="AM23" s="109">
        <f>SUM(AK24:AK29)</f>
        <v>701212.49999999965</v>
      </c>
      <c r="AN23" s="110">
        <f>IF(ISNA(AVERAGE(AK25:AK29))=TRUE,0,AVERAGE(AK25:AK29))</f>
        <v>122166.79999999993</v>
      </c>
      <c r="AO23" s="111">
        <f>IF(ISNA(AVERAGE(AL25:AL29))=TRUE,0,AVERAGE(AL25:AL29))</f>
        <v>0.4930817610062892</v>
      </c>
      <c r="AP23" s="112"/>
    </row>
    <row r="24" spans="1:42" ht="18" x14ac:dyDescent="0.3">
      <c r="A24" s="223"/>
      <c r="B24" s="226"/>
      <c r="C24" s="226"/>
      <c r="D24" s="226"/>
      <c r="E24" s="226"/>
      <c r="F24" s="226"/>
      <c r="G24" s="226"/>
      <c r="H24" s="226"/>
      <c r="I24" s="232"/>
      <c r="J24" s="15">
        <v>1</v>
      </c>
      <c r="K24" s="226" t="str">
        <f>RetrofitScenario_EnterData!E26</f>
        <v>Efficient Drip</v>
      </c>
      <c r="L24" s="15">
        <f>IF(AND(173=E23,D23=F23),L23,IF(AND(E23="Cool Season Turf",F23="High"),'Landscape Coefficients'!$B$9,IF(AND(E23="Cool Season Turf",F23="Medium"),'Landscape Coefficients'!$C$9,IF(AND(E23="Cool Season Turf",F23="Low"),'Landscape Coefficients'!$D$9,IF(AND(E23="Plantings",F23="High"),'Landscape Coefficients'!$E$9,IF(AND(E23="Plantings",F23="Medium"),'Landscape Coefficients'!$F$9,IF(AND(E23="Plantings",F23="Low"),'Landscape Coefficients'!$G$9,IF(AND(E23="Native Grass",F23="High"),'Landscape Coefficients'!$H$9,IF(AND(E23="Native Grass",F23="Medium"),'Landscape Coefficients'!$I$9,IF(AND(E23="Native Grass",F23="Low"),'Landscape Coefficients'!$J$9,IF(OR(F23="No Supplemental Irrigation",F23=0),0)))))))))))</f>
        <v>0.6</v>
      </c>
      <c r="M24" s="115" cm="1">
        <f t="array" ref="M24">_xlfn.IFS(K24="Fixed Spray",0.65,K24="Rotor",0.7,K24="Standard Drip",0.7,K24="Microspray",0.7,K24="Efficient Drip",0.9,OR(K24="None",K24=0),0)</f>
        <v>0.9</v>
      </c>
      <c r="N24" s="235"/>
      <c r="O24" s="229"/>
      <c r="P24" s="229"/>
      <c r="Q24" s="229"/>
      <c r="R24" s="229"/>
      <c r="S24" s="229"/>
      <c r="T24" s="249"/>
      <c r="U24" s="235"/>
      <c r="V24" s="229"/>
      <c r="W24" s="229"/>
      <c r="X24" s="229"/>
      <c r="Y24" s="229"/>
      <c r="Z24" s="229"/>
      <c r="AA24" s="229"/>
      <c r="AB24" s="116">
        <f>MAX(0,IF(L24=0,0,(1/M24)*((N23*L24)-(U23*0.5))*I23*0.6233))</f>
        <v>7271.8333333333321</v>
      </c>
      <c r="AC24" s="44">
        <f>MAX(0,IF(L24=0,0,(1/M24)*((O23*L24)-(V23*0.5))*I23*0.6233))</f>
        <v>15582.5</v>
      </c>
      <c r="AD24" s="44">
        <f>MAX(0,IF(L24=0,0,(1/M24)*((P23*L24)-(W23*0.5))*I23*0.6233))</f>
        <v>27009.666666666668</v>
      </c>
      <c r="AE24" s="44">
        <f>MAX(0,IF(L24=0,0,(1/M24)*((Q23*L24)-(X23*0.5))*I23*0.6233))</f>
        <v>33242.666666666664</v>
      </c>
      <c r="AF24" s="44">
        <f>MAX(0,IF(L24=0,0,(1/M24)*((R23*L24)-(Y23*0.5))*I23*0.6233))</f>
        <v>32203.833333333328</v>
      </c>
      <c r="AG24" s="44">
        <f>MAX(0,IF(L24=0,0,(1/M24)*((S23*L24)-(Z23*0.5))*I23*0.6233))</f>
        <v>32203.833333333328</v>
      </c>
      <c r="AH24" s="117">
        <f>MAX(0,IF(L24=0,0,(1/M24)*((T23*L24)-(AA23*0.5))*I23*0.6233))</f>
        <v>9868.9166666666661</v>
      </c>
      <c r="AI24" s="116">
        <f>SUM(AB24:AH24)</f>
        <v>157383.24999999997</v>
      </c>
      <c r="AJ24" s="44" cm="1">
        <f t="array" ref="AJ24">AI24*_xlfn.IFS(OR(G23="None",G23=0),0,G23="Smart Controller",0.15,G23="HE MP Nozzles",0.1,G23="PRS-CV Heads",0.05)</f>
        <v>0</v>
      </c>
      <c r="AK24" s="118">
        <f>SUM(AI23-AI24)+AJ24</f>
        <v>90378.499999999971</v>
      </c>
      <c r="AL24" s="119">
        <f>IF(I23=0,0,1-((AI24-AJ24)/AI23))</f>
        <v>0.3647798742138364</v>
      </c>
      <c r="AM24" s="246"/>
      <c r="AN24" s="241"/>
      <c r="AO24" s="243"/>
    </row>
    <row r="25" spans="1:42" ht="18" x14ac:dyDescent="0.3">
      <c r="A25" s="223"/>
      <c r="B25" s="226"/>
      <c r="C25" s="226"/>
      <c r="D25" s="226"/>
      <c r="E25" s="226"/>
      <c r="F25" s="226"/>
      <c r="G25" s="226"/>
      <c r="H25" s="226"/>
      <c r="I25" s="232"/>
      <c r="J25" s="15">
        <v>2</v>
      </c>
      <c r="K25" s="226"/>
      <c r="L25" s="15">
        <f>IF(AND(E23="Cool Season Turf",F23="High"),'Landscape Coefficients'!$B$10,IF(AND(E23="Cool Season Turf",F23="Medium"),'Landscape Coefficients'!$C$10,IF(AND(E23="Cool Season Turf",F23="Low"),'Landscape Coefficients'!$D$10,IF(AND(E23="Plantings",F23="High"),'Landscape Coefficients'!$E$10,IF(AND(E23="Plantings",F23="Medium"),'Landscape Coefficients'!$F$10,IF(AND(E23="Plantings",F23="Low"),'Landscape Coefficients'!$G$10,IF(AND(E23="Native Grass",F23="High"),'Landscape Coefficients'!$H$10,IF(AND(E23="Native Grass",F23="Medium"),'Landscape Coefficients'!$I$10,IF(AND(E23="Native Grass",F23="Low"),'Landscape Coefficients'!$J$10,IF(OR(F23="No Supplemental Irrigation",F23=0),0))))))))))</f>
        <v>0.55000000000000004</v>
      </c>
      <c r="M25" s="115" cm="1">
        <f t="array" ref="M25">_xlfn.IFS(K24="Fixed Spray",0.65,K24="Rotor",0.7,K24="Standard Drip",0.7,K24="Microspray",0.7,K24="Efficient Drip",0.9,OR(K24="None",K24=0),0)</f>
        <v>0.9</v>
      </c>
      <c r="N25" s="235"/>
      <c r="O25" s="229"/>
      <c r="P25" s="229"/>
      <c r="Q25" s="229"/>
      <c r="R25" s="229"/>
      <c r="S25" s="229"/>
      <c r="T25" s="249"/>
      <c r="U25" s="235"/>
      <c r="V25" s="229"/>
      <c r="W25" s="229"/>
      <c r="X25" s="229"/>
      <c r="Y25" s="229"/>
      <c r="Z25" s="229"/>
      <c r="AA25" s="229"/>
      <c r="AB25" s="116">
        <f>MAX(0,IF(L24=0,0,(1/M24)*((N23*L25)-(U23*0.5))*I23*0.6233))</f>
        <v>6233.0000000000009</v>
      </c>
      <c r="AC25" s="44">
        <f>MAX(0,IF(L24=0,0,(1/M24)*((O23*L25)-(V23*0.5))*I23*0.6233))</f>
        <v>12985.416666666666</v>
      </c>
      <c r="AD25" s="44">
        <f>MAX(0,IF(L24=0,0,(1/M24)*((P23*L25)-(W23*0.5))*I23*0.6233))</f>
        <v>23893.166666666668</v>
      </c>
      <c r="AE25" s="44">
        <f>MAX(0,IF(L24=0,0,(1/M24)*((Q23*L25)-(X23*0.5))*I23*0.6233))</f>
        <v>29606.750000000007</v>
      </c>
      <c r="AF25" s="44">
        <f>MAX(0,IF(L24=0,0,(1/M24)*((R23*L25)-(Y23*0.5))*I23*0.6233))</f>
        <v>29087.333333333336</v>
      </c>
      <c r="AG25" s="44">
        <f>MAX(0,IF(L24=0,0,(1/M24)*((S23*L25)-(Z23*0.5))*I23*0.6233))</f>
        <v>29087.333333333336</v>
      </c>
      <c r="AH25" s="117">
        <f>MAX(0,IF(L24=0,0,(1/M24)*((T23*L25)-(AA23*0.5))*I23*0.6233))</f>
        <v>8830.0833333333339</v>
      </c>
      <c r="AI25" s="116">
        <f t="shared" ref="AI25:AI29" si="2">SUM(AB25:AH25)</f>
        <v>139723.08333333337</v>
      </c>
      <c r="AJ25" s="44" cm="1">
        <f t="array" ref="AJ25">AI25*_xlfn.IFS(OR(G23="None",G23=0),0,G23="Smart Controller",0.15,G23="HE MP Nozzles",0.1,G23="PRS-CV Heads",0.05)</f>
        <v>0</v>
      </c>
      <c r="AK25" s="118">
        <f>SUM(AI23-AI25)+AJ25</f>
        <v>108038.66666666657</v>
      </c>
      <c r="AL25" s="119">
        <f>IF(I23=0,0,1-((AI25-AJ25)/AI23))</f>
        <v>0.43605870020964332</v>
      </c>
      <c r="AM25" s="246"/>
      <c r="AN25" s="241"/>
      <c r="AO25" s="243"/>
    </row>
    <row r="26" spans="1:42" ht="18" x14ac:dyDescent="0.3">
      <c r="A26" s="223"/>
      <c r="B26" s="226"/>
      <c r="C26" s="226"/>
      <c r="D26" s="226"/>
      <c r="E26" s="226"/>
      <c r="F26" s="226"/>
      <c r="G26" s="226"/>
      <c r="H26" s="226"/>
      <c r="I26" s="232"/>
      <c r="J26" s="15">
        <v>3</v>
      </c>
      <c r="K26" s="226"/>
      <c r="L26" s="15">
        <f>IF(AND(E23="Cool Season Turf",F23="High"),'Landscape Coefficients'!$B$11,IF(AND(E23="Cool Season Turf",F23="Medium"),'Landscape Coefficients'!$C$11,IF(AND(E23="Cool Season Turf",F23="Low"),'Landscape Coefficients'!$D$11,IF(AND(E23="Plantings",F23="High"),'Landscape Coefficients'!$E$11,IF(AND(E23="Plantings",F23="Medium"),'Landscape Coefficients'!$F$11,IF(AND(E23="Plantings",F23="Low"),'Landscape Coefficients'!$G$11,IF(AND(E23="Native Grass",F23="High"),'Landscape Coefficients'!$H$11,IF(AND(E23="Native Grass",F23="Medium"),'Landscape Coefficients'!$I$11,IF(AND(E23="Native Grass",F23="Low"),'Landscape Coefficients'!$J$11,IF(OR(F23="No Supplemental Irrigation",F23=0),0))))))))))</f>
        <v>0.5</v>
      </c>
      <c r="M26" s="115" cm="1">
        <f t="array" ref="M26">_xlfn.IFS(K24="Fixed Spray",0.65,K24="Rotor",0.7,K24="Standard Drip",0.7,K24="Microspray",0.7,K24="Efficient Drip",0.9,OR(K24="None",K24=0),0)</f>
        <v>0.9</v>
      </c>
      <c r="N26" s="235"/>
      <c r="O26" s="229"/>
      <c r="P26" s="229"/>
      <c r="Q26" s="229"/>
      <c r="R26" s="229"/>
      <c r="S26" s="229"/>
      <c r="T26" s="249"/>
      <c r="U26" s="235"/>
      <c r="V26" s="229"/>
      <c r="W26" s="229"/>
      <c r="X26" s="229"/>
      <c r="Y26" s="229"/>
      <c r="Z26" s="229"/>
      <c r="AA26" s="229"/>
      <c r="AB26" s="116">
        <f>MAX(0,IF(L24=0,0,(1/M24)*((N23*L26)-(U23*0.5))*I23*0.6233))</f>
        <v>5194.166666666667</v>
      </c>
      <c r="AC26" s="44">
        <f>MAX(0,IF(L24=0,0,(1/M24)*((O23*L26)-(V23*0.5))*I23*0.6233))</f>
        <v>10388.333333333334</v>
      </c>
      <c r="AD26" s="44">
        <f>MAX(0,IF(L24=0,0,(1/M24)*((P23*L26)-(W23*0.5))*I23*0.6233))</f>
        <v>20776.666666666668</v>
      </c>
      <c r="AE26" s="44">
        <f>MAX(0,IF(L24=0,0,(1/M24)*((Q23*L26)-(X23*0.5))*I23*0.6233))</f>
        <v>25970.833333333332</v>
      </c>
      <c r="AF26" s="44">
        <f>MAX(0,IF(L24=0,0,(1/M24)*((R23*L26)-(Y23*0.5))*I23*0.6233))</f>
        <v>25970.833333333332</v>
      </c>
      <c r="AG26" s="44">
        <f>MAX(0,IF(L24=0,0,(1/M24)*((S23*L26)-(Z23*0.5))*I23*0.6233))</f>
        <v>25970.833333333332</v>
      </c>
      <c r="AH26" s="117">
        <f>MAX(0,IF(L24=0,0,(1/M24)*((T23*L26)-(AA23*0.5))*I23*0.6233))</f>
        <v>7791.25</v>
      </c>
      <c r="AI26" s="116">
        <f t="shared" si="2"/>
        <v>122062.91666666666</v>
      </c>
      <c r="AJ26" s="44" cm="1">
        <f t="array" ref="AJ26">AI26*_xlfn.IFS(OR(G23="None",G23=0),0,G23="Smart Controller",0.15,G23="HE MP Nozzles",0.1,G23="PRS-CV Heads",0.05)</f>
        <v>0</v>
      </c>
      <c r="AK26" s="118">
        <f>SUM(AI23-AI26)+AJ26</f>
        <v>125698.83333333328</v>
      </c>
      <c r="AL26" s="119">
        <f>IF(I23=0,0,1-((AI26-AJ26)/AI23))</f>
        <v>0.5073375262054507</v>
      </c>
      <c r="AM26" s="246"/>
      <c r="AN26" s="241"/>
      <c r="AO26" s="243"/>
    </row>
    <row r="27" spans="1:42" ht="18" x14ac:dyDescent="0.3">
      <c r="A27" s="223"/>
      <c r="B27" s="226"/>
      <c r="C27" s="226"/>
      <c r="D27" s="226"/>
      <c r="E27" s="226"/>
      <c r="F27" s="226"/>
      <c r="G27" s="226"/>
      <c r="H27" s="226"/>
      <c r="I27" s="232"/>
      <c r="J27" s="15">
        <v>4</v>
      </c>
      <c r="K27" s="226"/>
      <c r="L27" s="15">
        <f>IF(AND(E23="Cool Season Turf",F23="High"),'Landscape Coefficients'!$B$12,IF(AND(E23="Cool Season Turf",F23="Medium"),'Landscape Coefficients'!$C$12,IF(AND(E23="Cool Season Turf",F23="Low"),'Landscape Coefficients'!$D$12,IF(AND(E23="Plantings",F23="High"),'Landscape Coefficients'!$E$12,IF(AND(E23="Plantings",F23="Medium"),'Landscape Coefficients'!$F$12,IF(AND(E23="Plantings",F23="Low"),'Landscape Coefficients'!$G$12,IF(AND(E23="Native Grass",F23="High"),'Landscape Coefficients'!$H$12,IF(AND(E23="Native Grass",F23="Medium"),'Landscape Coefficients'!$I$12,IF(AND(E23="Native Grass",F23="Low"),'Landscape Coefficients'!$J$12,IF(OR(F23="No Supplemental Irrigation",F23=0),0))))))))))</f>
        <v>0.5</v>
      </c>
      <c r="M27" s="115" cm="1">
        <f t="array" ref="M27">_xlfn.IFS(K24="Fixed Spray",0.65,K24="Rotor",0.7,K24="Standard Drip",0.7,K24="Microspray",0.7,K24="Efficient Drip",0.9,OR(K24="None",K24=0),0)</f>
        <v>0.9</v>
      </c>
      <c r="N27" s="235"/>
      <c r="O27" s="229"/>
      <c r="P27" s="229"/>
      <c r="Q27" s="229"/>
      <c r="R27" s="229"/>
      <c r="S27" s="229"/>
      <c r="T27" s="249"/>
      <c r="U27" s="235"/>
      <c r="V27" s="229"/>
      <c r="W27" s="229"/>
      <c r="X27" s="229"/>
      <c r="Y27" s="229"/>
      <c r="Z27" s="229"/>
      <c r="AA27" s="229"/>
      <c r="AB27" s="116">
        <f>MAX(0,IF(L24=0,0,(1/M24)*((N23*L27)-(U23*0.5))*I23*0.6233))</f>
        <v>5194.166666666667</v>
      </c>
      <c r="AC27" s="44">
        <f>MAX(0,IF(L24=0,0,(1/M24)*((O23*L27)-(V23*0.5))*I23*0.6233))</f>
        <v>10388.333333333334</v>
      </c>
      <c r="AD27" s="44">
        <f>MAX(0,IF(L24=0,0,(1/M24)*((P23*L27)-(W23*0.5))*I23*0.6233))</f>
        <v>20776.666666666668</v>
      </c>
      <c r="AE27" s="44">
        <f>MAX(0,IF(L24=0,0,(1/M24)*((Q23*L27)-(X23*0.5))*I23*0.6233))</f>
        <v>25970.833333333332</v>
      </c>
      <c r="AF27" s="44">
        <f>MAX(0,IF(L24=0,0,(1/M24)*((R23*L27)-(Y23*0.5))*I23*0.6233))</f>
        <v>25970.833333333332</v>
      </c>
      <c r="AG27" s="44">
        <f>MAX(0,IF(L24=0,0,(1/M24)*((S23*L27)-(Z23*0.5))*I23*0.6233))</f>
        <v>25970.833333333332</v>
      </c>
      <c r="AH27" s="117">
        <f>MAX(0,IF(L24=0,0,(1/M24)*((T23*L27)-(AA23*0.5))*I23*0.6233))</f>
        <v>7791.25</v>
      </c>
      <c r="AI27" s="116">
        <f t="shared" si="2"/>
        <v>122062.91666666666</v>
      </c>
      <c r="AJ27" s="44" cm="1">
        <f t="array" ref="AJ27">AI27*_xlfn.IFS(OR(G23="None",G23=0),0,G23="Smart Controller",0.15,G23="HE MP Nozzles",0.1,G23="PRS-CV Heads",0.05)</f>
        <v>0</v>
      </c>
      <c r="AK27" s="118">
        <f>SUM(AI23-AI27)+AJ27</f>
        <v>125698.83333333328</v>
      </c>
      <c r="AL27" s="119">
        <f>IF(I23=0,0,1-((AI27-AJ27)/AI23))</f>
        <v>0.5073375262054507</v>
      </c>
      <c r="AM27" s="246"/>
      <c r="AN27" s="241"/>
      <c r="AO27" s="243"/>
    </row>
    <row r="28" spans="1:42" ht="18" x14ac:dyDescent="0.3">
      <c r="A28" s="223"/>
      <c r="B28" s="226"/>
      <c r="C28" s="226"/>
      <c r="D28" s="226"/>
      <c r="E28" s="226"/>
      <c r="F28" s="226"/>
      <c r="G28" s="226"/>
      <c r="H28" s="226"/>
      <c r="I28" s="232"/>
      <c r="J28" s="15">
        <v>5</v>
      </c>
      <c r="K28" s="226"/>
      <c r="L28" s="15">
        <f>IF(AND(E23="Cool Season Turf",F23="High"),'Landscape Coefficients'!$B$13,IF(AND(E23="Cool Season Turf",F23="Medium"),'Landscape Coefficients'!$C$13,IF(AND(E23="Cool Season Turf",F23="Low"),'Landscape Coefficients'!$D$13,IF(AND(E23="Plantings",F23="High"),'Landscape Coefficients'!$E$13,IF(AND(E23="Plantings",F23="Medium"),'Landscape Coefficients'!$F$13,IF(AND(E23="Plantings",F23="Low"),'Landscape Coefficients'!$G$13,IF(AND(E23="Native Grass",F23="High"),'Landscape Coefficients'!$H$13,IF(AND(E23="Native Grass",F23="Medium"),'Landscape Coefficients'!$I$13,IF(AND(E23="Native Grass",F23="Low"),'Landscape Coefficients'!$J$13,IF(OR(F23="No Supplemental Irrigation",F23=0),0))))))))))</f>
        <v>0.5</v>
      </c>
      <c r="M28" s="115" cm="1">
        <f t="array" ref="M28">_xlfn.IFS(K24="Fixed Spray",0.65,K24="Rotor",0.7,K24="Standard Drip",0.7,K24="Microspray",0.7,K24="Efficient Drip",0.9,OR(K24="None",K24=0),0)</f>
        <v>0.9</v>
      </c>
      <c r="N28" s="235"/>
      <c r="O28" s="229"/>
      <c r="P28" s="229"/>
      <c r="Q28" s="229"/>
      <c r="R28" s="229"/>
      <c r="S28" s="229"/>
      <c r="T28" s="249"/>
      <c r="U28" s="235"/>
      <c r="V28" s="229"/>
      <c r="W28" s="229"/>
      <c r="X28" s="229"/>
      <c r="Y28" s="229"/>
      <c r="Z28" s="229"/>
      <c r="AA28" s="229"/>
      <c r="AB28" s="116">
        <f>MAX(0,IF(L24=0,0,(1/M24)*((N23*L28)-(U23*0.5))*I23*0.6233))</f>
        <v>5194.166666666667</v>
      </c>
      <c r="AC28" s="44">
        <f>MAX(0,IF(L24=0,0,(1/M24)*((O23*L28)-(V23*0.5))*I23*0.6233))</f>
        <v>10388.333333333334</v>
      </c>
      <c r="AD28" s="44">
        <f>MAX(0,IF(L24=0,0,(1/M24)*((P23*L28)-(W23*0.5))*I23*0.6233))</f>
        <v>20776.666666666668</v>
      </c>
      <c r="AE28" s="44">
        <f>MAX(0,IF(L24=0,0,(1/M24)*((Q23*L28)-(X23*0.5))*I23*0.6233))</f>
        <v>25970.833333333332</v>
      </c>
      <c r="AF28" s="44">
        <f>MAX(0,IF(L24=0,0,(1/M24)*((R23*L28)-(Y23*0.5))*I23*0.6233))</f>
        <v>25970.833333333332</v>
      </c>
      <c r="AG28" s="44">
        <f>MAX(0,IF(L24=0,0,(1/M24)*((S23*L28)-(Z23*0.5))*I23*0.6233))</f>
        <v>25970.833333333332</v>
      </c>
      <c r="AH28" s="117">
        <f>MAX(0,IF(L24=0,0,(1/M24)*((T23*L28)-(AA23*0.5))*I23*0.6233))</f>
        <v>7791.25</v>
      </c>
      <c r="AI28" s="116">
        <f t="shared" si="2"/>
        <v>122062.91666666666</v>
      </c>
      <c r="AJ28" s="44" cm="1">
        <f t="array" ref="AJ28">AI28*_xlfn.IFS(OR(G23="None",G23=0),0,G23="Smart Controller",0.15,G23="HE MP Nozzles",0.1,G23="PRS-CV Heads",0.05)</f>
        <v>0</v>
      </c>
      <c r="AK28" s="118">
        <f>SUM(AI23-AI28)+AJ28</f>
        <v>125698.83333333328</v>
      </c>
      <c r="AL28" s="119">
        <f>IF(I23=0,0,1-((AI28-AJ28)/AI23))</f>
        <v>0.5073375262054507</v>
      </c>
      <c r="AM28" s="246"/>
      <c r="AN28" s="241"/>
      <c r="AO28" s="243"/>
    </row>
    <row r="29" spans="1:42" ht="18.75" thickBot="1" x14ac:dyDescent="0.35">
      <c r="A29" s="224"/>
      <c r="B29" s="227"/>
      <c r="C29" s="227"/>
      <c r="D29" s="227"/>
      <c r="E29" s="227"/>
      <c r="F29" s="227"/>
      <c r="G29" s="227"/>
      <c r="H29" s="227"/>
      <c r="I29" s="233"/>
      <c r="J29" s="121">
        <v>6</v>
      </c>
      <c r="K29" s="245"/>
      <c r="L29" s="121">
        <f>IF(AND(E23="Cool Season Turf",F23="High"),'Landscape Coefficients'!$B$14,IF(AND(E23="Cool Season Turf",F23="Medium"),'Landscape Coefficients'!$C$14,IF(AND(E23="Cool Season Turf",F23="Low"),'Landscape Coefficients'!$D$14,IF(AND(E23="Plantings",F23="High"),'Landscape Coefficients'!$E$14,IF(AND(E23="Plantings",F23="Medium"),'Landscape Coefficients'!$F$14,IF(AND(E23="Plantings",F23="Low"),'Landscape Coefficients'!$G$14,IF(AND(E23="Native Grass",F23="High"),'Landscape Coefficients'!$H$14,IF(AND(E23="Native Grass",F23="Medium"),'Landscape Coefficients'!$I$14,IF(AND(E23="Native Grass",F23="Low"),'Landscape Coefficients'!$J$14,IF(OR(F23="No Supplemental Irrigation",F23=0),0))))))))))</f>
        <v>0.5</v>
      </c>
      <c r="M29" s="122" cm="1">
        <f t="array" ref="M29">_xlfn.IFS(K24="Fixed Spray",0.65,K24="Rotor",0.7,K24="Standard Drip",0.7,K24="Microspray",0.7,K24="Efficient Drip",0.9,OR(K24="None",K24=0),0)</f>
        <v>0.9</v>
      </c>
      <c r="N29" s="236"/>
      <c r="O29" s="230"/>
      <c r="P29" s="230"/>
      <c r="Q29" s="230"/>
      <c r="R29" s="230"/>
      <c r="S29" s="230"/>
      <c r="T29" s="250"/>
      <c r="U29" s="236"/>
      <c r="V29" s="230"/>
      <c r="W29" s="230"/>
      <c r="X29" s="230"/>
      <c r="Y29" s="230"/>
      <c r="Z29" s="230"/>
      <c r="AA29" s="230"/>
      <c r="AB29" s="123">
        <f>MAX(0,IF(L24=0,0,(1/M24)*((N23*L29)-(U23*0.5))*I23*0.6233))</f>
        <v>5194.166666666667</v>
      </c>
      <c r="AC29" s="124">
        <f>MAX(0,IF(L24=0,0,(1/M24)*((O23*L29)-(V23*0.5))*I23*0.6233))</f>
        <v>10388.333333333334</v>
      </c>
      <c r="AD29" s="124">
        <f>MAX(0,IF(L24=0,0,(1/M24)*((P23*L29)-(W23*0.5))*I23*0.6233))</f>
        <v>20776.666666666668</v>
      </c>
      <c r="AE29" s="124">
        <f>MAX(0,IF(L24=0,0,(1/M24)*((Q23*L29)-(X23*0.5))*I23*0.6233))</f>
        <v>25970.833333333332</v>
      </c>
      <c r="AF29" s="124">
        <f>MAX(0,IF(L24=0,0,(1/M24)*((R23*L29)-(Y23*0.5))*I23*0.6233))</f>
        <v>25970.833333333332</v>
      </c>
      <c r="AG29" s="124">
        <f>MAX(0,IF(L24=0,0,(1/M24)*((S23*L29)-(Z23*0.5))*I23*0.6233))</f>
        <v>25970.833333333332</v>
      </c>
      <c r="AH29" s="125">
        <f>MAX(0,IF(L24=0,0,(1/M24)*((T23*L29)-(AA23*0.5))*I23*0.6233))</f>
        <v>7791.25</v>
      </c>
      <c r="AI29" s="123">
        <f t="shared" si="2"/>
        <v>122062.91666666666</v>
      </c>
      <c r="AJ29" s="124" cm="1">
        <f t="array" ref="AJ29">AI29*_xlfn.IFS(OR(G23="None",G23=0),0,G23="Smart Controller",0.15,G23="HE MP Nozzles",0.1,G23="PRS-CV Heads",0.05)</f>
        <v>0</v>
      </c>
      <c r="AK29" s="126">
        <f>SUM(AI23-AI29)+AJ29</f>
        <v>125698.83333333328</v>
      </c>
      <c r="AL29" s="127">
        <f>IF(I23=0,0,1-((AI29-AJ29)/AI23))</f>
        <v>0.5073375262054507</v>
      </c>
      <c r="AM29" s="247"/>
      <c r="AN29" s="242"/>
      <c r="AO29" s="244"/>
    </row>
    <row r="30" spans="1:42" ht="15.75" customHeight="1" x14ac:dyDescent="0.3">
      <c r="A30" s="222" t="str">
        <f>A23</f>
        <v>Test Retrofit</v>
      </c>
      <c r="B30" s="225" t="s">
        <v>88</v>
      </c>
      <c r="C30" s="225" t="str">
        <f>C23</f>
        <v>Cool Season Turf</v>
      </c>
      <c r="D30" s="225" t="str">
        <f>D23</f>
        <v>Medium</v>
      </c>
      <c r="E30" s="254" t="str">
        <f>RetrofitScenario_EnterData!E30</f>
        <v>No Irrigation</v>
      </c>
      <c r="F30" s="225" t="str">
        <f>RetrofitScenario_EnterData!E31</f>
        <v>No Supplemental Irrigation</v>
      </c>
      <c r="G30" s="225" t="str">
        <f>RetrofitScenario_EnterData!E33</f>
        <v>None</v>
      </c>
      <c r="H30" s="225" t="str">
        <f>H23</f>
        <v>OTHER</v>
      </c>
      <c r="I30" s="231">
        <f>RetrofitScenario_EnterData!E29</f>
        <v>10000</v>
      </c>
      <c r="J30" s="98" t="s">
        <v>34</v>
      </c>
      <c r="K30" s="99" t="str">
        <f>K23</f>
        <v>Rotor</v>
      </c>
      <c r="L30" s="100">
        <f>IF(AND(C30="Cool Season Turf",D30="High"),0.8,IF(AND(C30="Cool Season Turf",D30="Medium"),0.7,IF(AND(C30="Cool Season Turf",D30="Low"),0.6,IF(AND(C30="Plantings",D30="High"),0.7,IF(AND(C30="Plantings",D30="Medium"),0.5,IF(AND(C30="Plantings",D30="Low"),0.2,IF(AND(C30="Native Grass",D30="High"),0.7,IF(AND(C30="Native Grass",D30="Medium"),0.5,IF(AND(C30="Native Grass",D30="Low"),0.2,IF(OR(C30="None",C30=0),0))))))))))</f>
        <v>0.7</v>
      </c>
      <c r="M30" s="101" cm="1">
        <f t="array" ref="M30">_xlfn.IFS(K30="Fixed Spray",0.65,K30="Rotor",0.7,K30="Standard Drip",0.7,K30="Microspray",0.7,K30="Efficient Drip",0.9,K30=0,0)</f>
        <v>0.7</v>
      </c>
      <c r="N30" s="234">
        <f>SUMIF('Consolidated ET Averages'!$A$8:$A$21, $H30,'Consolidated ET Averages'!$B$8:$B$21)</f>
        <v>2</v>
      </c>
      <c r="O30" s="228">
        <f>SUMIF('Consolidated ET Averages'!$A$8:$A$21, $H30,'Consolidated ET Averages'!$C$8:$C$21)</f>
        <v>5</v>
      </c>
      <c r="P30" s="228">
        <f>SUMIF('Consolidated ET Averages'!$A$8:$A$21, $H30,'Consolidated ET Averages'!$D$8:$D$21)</f>
        <v>6</v>
      </c>
      <c r="Q30" s="228">
        <f>SUMIF('Consolidated ET Averages'!$A$8:$A$21, $H30,'Consolidated ET Averages'!$E$8:$E$21)</f>
        <v>7</v>
      </c>
      <c r="R30" s="228">
        <f>SUMIF('Consolidated ET Averages'!$A$8:$A$21, $H30,'Consolidated ET Averages'!$F$8:$F$21)</f>
        <v>6</v>
      </c>
      <c r="S30" s="228">
        <f>SUMIF('Consolidated ET Averages'!$A$8:$A$21, $H30,'Consolidated ET Averages'!$G$8:$G$21)</f>
        <v>6</v>
      </c>
      <c r="T30" s="248">
        <f>SUMIF('Consolidated ET Averages'!$A$8:$A$21, $H30,'Consolidated ET Averages'!$H$8:$H$21)</f>
        <v>2</v>
      </c>
      <c r="U30" s="234">
        <f>SUMIF('Consolidated ET Averages'!$A$8:$A$21, $H30,'Consolidated ET Averages'!$K$8:$K$21)</f>
        <v>1</v>
      </c>
      <c r="V30" s="228">
        <f>SUMIF('Consolidated ET Averages'!$A$8:$A$21, $H30,'Consolidated ET Averages'!$L$8:$L$21)</f>
        <v>3</v>
      </c>
      <c r="W30" s="228">
        <f>SUMIF('Consolidated ET Averages'!$A$8:$A$21, $H30,'Consolidated ET Averages'!$M$8:$M$21)</f>
        <v>2</v>
      </c>
      <c r="X30" s="228">
        <f>SUMIF('Consolidated ET Averages'!$A$8:$A$21, $H30,'Consolidated ET Averages'!$N$8:$N$21)</f>
        <v>2</v>
      </c>
      <c r="Y30" s="228">
        <f>SUMIF('Consolidated ET Averages'!$A$8:$A$21, $H30,'Consolidated ET Averages'!$O$8:$O$21)</f>
        <v>1</v>
      </c>
      <c r="Z30" s="228">
        <f>SUMIF('Consolidated ET Averages'!$A$8:$A$21, $H30,'Consolidated ET Averages'!$P$8:$P$21)</f>
        <v>1</v>
      </c>
      <c r="AA30" s="228">
        <f>SUMIF('Consolidated ET Averages'!$A$8:$A$21, $H30,'Consolidated ET Averages'!$Q$8:$Q$21)</f>
        <v>0.5</v>
      </c>
      <c r="AB30" s="102">
        <f>MAX(0,IF(I30&gt;0,(1/M30)*((N30*L30)-(U30*0.5))*I30*0.6233,0))</f>
        <v>8013.8571428571413</v>
      </c>
      <c r="AC30" s="103">
        <f>MAX(0,IF(I30&gt;0,(1/M30)*((O30*L30)-(V30*0.5))*I30*0.6233,0))</f>
        <v>17808.571428571428</v>
      </c>
      <c r="AD30" s="103">
        <f>MAX(0,IF(I30&gt;0,(1/M30)*((P30*L30)-(W30*0.5))*I30*0.6233,0))</f>
        <v>28493.714285714275</v>
      </c>
      <c r="AE30" s="103">
        <f>MAX(0,IF(I30&gt;0,(1/M30)*((Q30*L30)-(X30*0.5))*I30*0.6233,0))</f>
        <v>34726.714285714283</v>
      </c>
      <c r="AF30" s="103">
        <f>MAX(0,IF(I30&gt;0,(1/M30)*((R30*L30)-(Y30*0.5))*I30*0.6233,0))</f>
        <v>32945.857142857138</v>
      </c>
      <c r="AG30" s="103">
        <f>MAX(0,IF(I30&gt;0,(1/M30)*((S30*L30)-(Z30*0.5))*I30*0.6233,0))</f>
        <v>32945.857142857138</v>
      </c>
      <c r="AH30" s="104">
        <f>MAX(0,IF(I30&gt;0,(1/M30)*((T30*L30)-(AA30*0.5))*I30*0.6233,0))</f>
        <v>10239.928571428571</v>
      </c>
      <c r="AI30" s="105">
        <f>SUM(AB30:AH30)</f>
        <v>165174.49999999997</v>
      </c>
      <c r="AJ30" s="106" cm="1">
        <f t="array" ref="AJ30">AI30*_xlfn.IFS(OR(G30="None",G30=0),0,G30="Smart Controller",0.15,G30="HE MP Nozzles",0.1,G30="PRS-CV Heads",0.05)</f>
        <v>0</v>
      </c>
      <c r="AK30" s="107">
        <v>0</v>
      </c>
      <c r="AL30" s="108">
        <v>0</v>
      </c>
      <c r="AM30" s="109">
        <f>SUM(AK31:AK36)</f>
        <v>991046.99999999988</v>
      </c>
      <c r="AN30" s="110">
        <f>IF(ISNA(AVERAGE(AK32:AK36))=TRUE,0,AVERAGE(AK32:AK36))</f>
        <v>165174.49999999997</v>
      </c>
      <c r="AO30" s="111">
        <f>IF(ISNA(AVERAGE(AL32:AL36))=TRUE,0,AVERAGE(AL32:AL36))</f>
        <v>1</v>
      </c>
      <c r="AP30" s="112"/>
    </row>
    <row r="31" spans="1:42" ht="18" x14ac:dyDescent="0.3">
      <c r="A31" s="223"/>
      <c r="B31" s="226"/>
      <c r="C31" s="226"/>
      <c r="D31" s="226"/>
      <c r="E31" s="226"/>
      <c r="F31" s="226"/>
      <c r="G31" s="226"/>
      <c r="H31" s="226"/>
      <c r="I31" s="232"/>
      <c r="J31" s="15">
        <v>1</v>
      </c>
      <c r="K31" s="226" t="str">
        <f>RetrofitScenario_EnterData!E32</f>
        <v>None</v>
      </c>
      <c r="L31" s="15">
        <f>IF(AND(C30=E30,D30=F30),L30,IF(AND(E30="Cool Season Turf",F30="High"),'Landscape Coefficients'!$B$9,IF(AND(E30="Cool Season Turf",F30="Medium"),'Landscape Coefficients'!$C$9,IF(AND(E30="Cool Season Turf",F30="Low"),'Landscape Coefficients'!$D$9,IF(AND(E30="Plantings",F30="High"),'Landscape Coefficients'!$E$9,IF(AND(E30="Plantings",F30="Medium"),'Landscape Coefficients'!$F$9,IF(AND(E30="Plantings",F30="Low"),'Landscape Coefficients'!$G$9,IF(AND(E30="Native Grass",F30="High"),'Landscape Coefficients'!$H$9,IF(AND(E30="Native Grass",F30="Medium"),'Landscape Coefficients'!$I$9,IF(AND(E30="Native Grass",F30="Low"),'Landscape Coefficients'!$J$9,IF(OR(F30="No Supplemental Irrigation",F30=0),0)))))))))))</f>
        <v>0</v>
      </c>
      <c r="M31" s="115" cm="1">
        <f t="array" ref="M31">_xlfn.IFS(K31="Fixed Spray",0.65,K31="Rotor",0.7,K31="Standard Drip",0.7,K31="Microspray",0.7,K31="Efficient Drip",0.9,OR(K31="None",K31=0),0)</f>
        <v>0</v>
      </c>
      <c r="N31" s="235"/>
      <c r="O31" s="229"/>
      <c r="P31" s="229"/>
      <c r="Q31" s="229"/>
      <c r="R31" s="229"/>
      <c r="S31" s="229"/>
      <c r="T31" s="249"/>
      <c r="U31" s="235"/>
      <c r="V31" s="229"/>
      <c r="W31" s="229"/>
      <c r="X31" s="229"/>
      <c r="Y31" s="229"/>
      <c r="Z31" s="229"/>
      <c r="AA31" s="229"/>
      <c r="AB31" s="116">
        <f>MAX(0,IF(L31=0,0,(1/M31)*((N30*L31)-(U30*0.5))*I30*0.6233))</f>
        <v>0</v>
      </c>
      <c r="AC31" s="44">
        <f>MAX(0,IF(L31=0,0,(1/M31)*((O30*L31)-(V30*0.5))*I30*0.6233))</f>
        <v>0</v>
      </c>
      <c r="AD31" s="44">
        <f>MAX(0,IF(L31=0,0,(1/M31)*((P30*L31)-(W30*0.5))*I30*0.6233))</f>
        <v>0</v>
      </c>
      <c r="AE31" s="44">
        <f>MAX(0,IF(L31=0,0,(1/M31)*((Q30*L31)-(X30*0.5))*I30*0.6233))</f>
        <v>0</v>
      </c>
      <c r="AF31" s="44">
        <f>MAX(0,IF(L31=0,0,(1/M31)*((R30*L31)-(Y30*0.5))*I30*0.6233))</f>
        <v>0</v>
      </c>
      <c r="AG31" s="44">
        <f>MAX(0,IF(L31=0,0,(1/M31)*((S30*L31)-(Z30*0.5))*I30*0.6233))</f>
        <v>0</v>
      </c>
      <c r="AH31" s="117">
        <f>MAX(0,IF(L31=0,0,(1/M31)*((T30*L31)-(AA30*0.5))*I30*0.6233))</f>
        <v>0</v>
      </c>
      <c r="AI31" s="116">
        <f>SUM(AB31:AH31)</f>
        <v>0</v>
      </c>
      <c r="AJ31" s="44" cm="1">
        <f t="array" ref="AJ31">AI31*_xlfn.IFS(OR(G30="None",G30=0),0,G30="Smart Controller",0.15,G30="HE MP Nozzles",0.1,G30="PRS-CV Heads",0.05)</f>
        <v>0</v>
      </c>
      <c r="AK31" s="118">
        <f>SUM(AI30-AI31)+AJ31</f>
        <v>165174.49999999997</v>
      </c>
      <c r="AL31" s="119">
        <f>IF(I30=0,0,1-((AI31-AJ31)/AI30))</f>
        <v>1</v>
      </c>
      <c r="AM31" s="246"/>
      <c r="AN31" s="241"/>
      <c r="AO31" s="243"/>
    </row>
    <row r="32" spans="1:42" ht="18" x14ac:dyDescent="0.3">
      <c r="A32" s="223"/>
      <c r="B32" s="226"/>
      <c r="C32" s="226"/>
      <c r="D32" s="226"/>
      <c r="E32" s="226"/>
      <c r="F32" s="226"/>
      <c r="G32" s="226"/>
      <c r="H32" s="226"/>
      <c r="I32" s="232"/>
      <c r="J32" s="15">
        <v>2</v>
      </c>
      <c r="K32" s="226"/>
      <c r="L32" s="15">
        <f>IF(AND(E30="Cool Season Turf",F30="High"),'Landscape Coefficients'!$B$10,IF(AND(E30="Cool Season Turf",F30="Medium"),'Landscape Coefficients'!$C$10,IF(AND(E30="Cool Season Turf",F30="Low"),'Landscape Coefficients'!$D$10,IF(AND(E30="Plantings",F30="High"),'Landscape Coefficients'!$E$10,IF(AND(E30="Plantings",F30="Medium"),'Landscape Coefficients'!$F$10,IF(AND(E30="Plantings",F30="Low"),'Landscape Coefficients'!$G$10,IF(AND(E30="Native Grass",F30="High"),'Landscape Coefficients'!$H$10,IF(AND(E30="Native Grass",F30="Medium"),'Landscape Coefficients'!$I$10,IF(AND(E30="Native Grass",F30="Low"),'Landscape Coefficients'!$J$10,IF(OR(F30="No Supplemental Irrigation",F30=0),0))))))))))</f>
        <v>0</v>
      </c>
      <c r="M32" s="115" cm="1">
        <f t="array" ref="M32">_xlfn.IFS(K31="Fixed Spray",0.65,K31="Rotor",0.7,K31="Standard Drip",0.7,K31="Microspray",0.7,K31="Efficient Drip",0.9,OR(K31="None",K31=0),0)</f>
        <v>0</v>
      </c>
      <c r="N32" s="235"/>
      <c r="O32" s="229"/>
      <c r="P32" s="229"/>
      <c r="Q32" s="229"/>
      <c r="R32" s="229"/>
      <c r="S32" s="229"/>
      <c r="T32" s="249"/>
      <c r="U32" s="235"/>
      <c r="V32" s="229"/>
      <c r="W32" s="229"/>
      <c r="X32" s="229"/>
      <c r="Y32" s="229"/>
      <c r="Z32" s="229"/>
      <c r="AA32" s="229"/>
      <c r="AB32" s="116">
        <f>MAX(0,IF(L31=0,0,(1/M31)*((N30*L32)-(U30*0.5))*I30*0.6233))</f>
        <v>0</v>
      </c>
      <c r="AC32" s="44">
        <f>MAX(0,IF(L31=0,0,(1/M31)*((O30*L32)-(V30*0.5))*I30*0.6233))</f>
        <v>0</v>
      </c>
      <c r="AD32" s="44">
        <f>MAX(0,IF(L31=0,0,(1/M31)*((P30*L32)-(W30*0.5))*I30*0.6233))</f>
        <v>0</v>
      </c>
      <c r="AE32" s="44">
        <f>MAX(0,IF(L31=0,0,(1/M31)*((Q30*L32)-(X30*0.5))*I30*0.6233))</f>
        <v>0</v>
      </c>
      <c r="AF32" s="44">
        <f>MAX(0,IF(L31=0,0,(1/M31)*((R30*L32)-(Y30*0.5))*I30*0.6233))</f>
        <v>0</v>
      </c>
      <c r="AG32" s="44">
        <f>MAX(0,IF(L31=0,0,(1/M31)*((S30*L32)-(Z30*0.5))*I30*0.6233))</f>
        <v>0</v>
      </c>
      <c r="AH32" s="117">
        <f>MAX(0,IF(L31=0,0,(1/M31)*((T30*L32)-(AA30*0.5))*I30*0.6233))</f>
        <v>0</v>
      </c>
      <c r="AI32" s="116">
        <f t="shared" ref="AI32:AI36" si="3">SUM(AB32:AH32)</f>
        <v>0</v>
      </c>
      <c r="AJ32" s="44" cm="1">
        <f t="array" ref="AJ32">AI32*_xlfn.IFS(OR(G30="None",G30=0),0,G30="Smart Controller",0.15,G30="HE MP Nozzles",0.1,G30="PRS-CV Heads",0.05)</f>
        <v>0</v>
      </c>
      <c r="AK32" s="118">
        <f>SUM(AI30-AI32)+AJ32</f>
        <v>165174.49999999997</v>
      </c>
      <c r="AL32" s="119">
        <f>IF(I30=0,0,1-((AI32-AJ32)/AI30))</f>
        <v>1</v>
      </c>
      <c r="AM32" s="246"/>
      <c r="AN32" s="241"/>
      <c r="AO32" s="243"/>
    </row>
    <row r="33" spans="1:41" ht="18" x14ac:dyDescent="0.3">
      <c r="A33" s="223"/>
      <c r="B33" s="226"/>
      <c r="C33" s="226"/>
      <c r="D33" s="226"/>
      <c r="E33" s="226"/>
      <c r="F33" s="226"/>
      <c r="G33" s="226"/>
      <c r="H33" s="226"/>
      <c r="I33" s="232"/>
      <c r="J33" s="15">
        <v>3</v>
      </c>
      <c r="K33" s="226"/>
      <c r="L33" s="15">
        <f>IF(AND(E30="Cool Season Turf",F30="High"),'Landscape Coefficients'!$B$11,IF(AND(E30="Cool Season Turf",F30="Medium"),'Landscape Coefficients'!$C$11,IF(AND(E30="Cool Season Turf",F30="Low"),'Landscape Coefficients'!$D$11,IF(AND(E30="Plantings",F30="High"),'Landscape Coefficients'!$E$11,IF(AND(E30="Plantings",F30="Medium"),'Landscape Coefficients'!$F$11,IF(AND(E30="Plantings",F30="Low"),'Landscape Coefficients'!$G$11,IF(AND(E30="Native Grass",F30="High"),'Landscape Coefficients'!$H$11,IF(AND(E30="Native Grass",F30="Medium"),'Landscape Coefficients'!$I$11,IF(AND(E30="Native Grass",F30="Low"),'Landscape Coefficients'!$J$11,IF(OR(F30="No Supplemental Irrigation",F30=0),0))))))))))</f>
        <v>0</v>
      </c>
      <c r="M33" s="115" cm="1">
        <f t="array" ref="M33">_xlfn.IFS(K31="Fixed Spray",0.65,K31="Rotor",0.7,K31="Standard Drip",0.7,K31="Microspray",0.7,K31="Efficient Drip",0.9,OR(K31="None",K31=0),0)</f>
        <v>0</v>
      </c>
      <c r="N33" s="235"/>
      <c r="O33" s="229"/>
      <c r="P33" s="229"/>
      <c r="Q33" s="229"/>
      <c r="R33" s="229"/>
      <c r="S33" s="229"/>
      <c r="T33" s="249"/>
      <c r="U33" s="235"/>
      <c r="V33" s="229"/>
      <c r="W33" s="229"/>
      <c r="X33" s="229"/>
      <c r="Y33" s="229"/>
      <c r="Z33" s="229"/>
      <c r="AA33" s="229"/>
      <c r="AB33" s="116">
        <f>MAX(0,IF(L31=0,0,(1/M31)*((N30*L33)-(U30*0.5))*I30*0.6233))</f>
        <v>0</v>
      </c>
      <c r="AC33" s="44">
        <f>MAX(0,IF(L31=0,0,(1/M31)*((O30*L33)-(V30*0.5))*I30*0.6233))</f>
        <v>0</v>
      </c>
      <c r="AD33" s="44">
        <f>MAX(0,IF(L31=0,0,(1/M31)*((P30*L33)-(W30*0.5))*I30*0.6233))</f>
        <v>0</v>
      </c>
      <c r="AE33" s="44">
        <f>MAX(0,IF(L31=0,0,(1/M31)*((Q30*L33)-(X30*0.5))*I30*0.6233))</f>
        <v>0</v>
      </c>
      <c r="AF33" s="44">
        <f>MAX(0,IF(L31=0,0,(1/M31)*((R30*L33)-(Y30*0.5))*I30*0.6233))</f>
        <v>0</v>
      </c>
      <c r="AG33" s="44">
        <f>MAX(0,IF(L31=0,0,(1/M31)*((S30*L33)-(Z30*0.5))*I30*0.6233))</f>
        <v>0</v>
      </c>
      <c r="AH33" s="117">
        <f>MAX(0,IF(L31=0,0,(1/M31)*((T30*L33)-(AA30*0.5))*I30*0.6233))</f>
        <v>0</v>
      </c>
      <c r="AI33" s="116">
        <f t="shared" si="3"/>
        <v>0</v>
      </c>
      <c r="AJ33" s="44" cm="1">
        <f t="array" ref="AJ33">AI33*_xlfn.IFS(OR(G30="None",G30=0),0,G30="Smart Controller",0.15,G30="HE MP Nozzles",0.1,G30="PRS-CV Heads",0.05)</f>
        <v>0</v>
      </c>
      <c r="AK33" s="118">
        <f>SUM(AI30-AI33)+AJ33</f>
        <v>165174.49999999997</v>
      </c>
      <c r="AL33" s="119">
        <f>IF(I30=0,0,1-((AI33-AJ33)/AI30))</f>
        <v>1</v>
      </c>
      <c r="AM33" s="246"/>
      <c r="AN33" s="241"/>
      <c r="AO33" s="243"/>
    </row>
    <row r="34" spans="1:41" ht="18" x14ac:dyDescent="0.3">
      <c r="A34" s="223"/>
      <c r="B34" s="226"/>
      <c r="C34" s="226"/>
      <c r="D34" s="226"/>
      <c r="E34" s="226"/>
      <c r="F34" s="226"/>
      <c r="G34" s="226"/>
      <c r="H34" s="226"/>
      <c r="I34" s="232"/>
      <c r="J34" s="15">
        <v>4</v>
      </c>
      <c r="K34" s="226"/>
      <c r="L34" s="15">
        <f>IF(AND(E30="Cool Season Turf",F30="High"),'Landscape Coefficients'!$B$12,IF(AND(E30="Cool Season Turf",F30="Medium"),'Landscape Coefficients'!$C$12,IF(AND(E30="Cool Season Turf",F30="Low"),'Landscape Coefficients'!$D$12,IF(AND(E30="Plantings",F30="High"),'Landscape Coefficients'!$E$12,IF(AND(E30="Plantings",F30="Medium"),'Landscape Coefficients'!$F$12,IF(AND(E30="Plantings",F30="Low"),'Landscape Coefficients'!$G$12,IF(AND(E30="Native Grass",F30="High"),'Landscape Coefficients'!$H$12,IF(AND(E30="Native Grass",F30="Medium"),'Landscape Coefficients'!$I$12,IF(AND(E30="Native Grass",F30="Low"),'Landscape Coefficients'!$J$12,IF(OR(F30="No Supplemental Irrigation",F30=0),0))))))))))</f>
        <v>0</v>
      </c>
      <c r="M34" s="115" cm="1">
        <f t="array" ref="M34">_xlfn.IFS(K31="Fixed Spray",0.65,K31="Rotor",0.7,K31="Standard Drip",0.7,K31="Microspray",0.7,K31="Efficient Drip",0.9,OR(K31="None",K31=0),0)</f>
        <v>0</v>
      </c>
      <c r="N34" s="235"/>
      <c r="O34" s="229"/>
      <c r="P34" s="229"/>
      <c r="Q34" s="229"/>
      <c r="R34" s="229"/>
      <c r="S34" s="229"/>
      <c r="T34" s="249"/>
      <c r="U34" s="235"/>
      <c r="V34" s="229"/>
      <c r="W34" s="229"/>
      <c r="X34" s="229"/>
      <c r="Y34" s="229"/>
      <c r="Z34" s="229"/>
      <c r="AA34" s="229"/>
      <c r="AB34" s="116">
        <f>MAX(0,IF(L31=0,0,(1/M31)*((N30*L34)-(U30*0.5))*I30*0.6233))</f>
        <v>0</v>
      </c>
      <c r="AC34" s="44">
        <f>MAX(0,IF(L31=0,0,(1/M31)*((O30*L34)-(V30*0.5))*I30*0.6233))</f>
        <v>0</v>
      </c>
      <c r="AD34" s="44">
        <f>MAX(0,IF(L31=0,0,(1/M31)*((P30*L34)-(W30*0.5))*I30*0.6233))</f>
        <v>0</v>
      </c>
      <c r="AE34" s="44">
        <f>MAX(0,IF(L31=0,0,(1/M31)*((Q30*L34)-(X30*0.5))*I30*0.6233))</f>
        <v>0</v>
      </c>
      <c r="AF34" s="44">
        <f>MAX(0,IF(L31=0,0,(1/M31)*((R30*L34)-(Y30*0.5))*I30*0.6233))</f>
        <v>0</v>
      </c>
      <c r="AG34" s="44">
        <f>MAX(0,IF(L31=0,0,(1/M31)*((S30*L34)-(Z30*0.5))*I30*0.6233))</f>
        <v>0</v>
      </c>
      <c r="AH34" s="117">
        <f>MAX(0,IF(L31=0,0,(1/M31)*((T30*L34)-(AA30*0.5))*I30*0.6233))</f>
        <v>0</v>
      </c>
      <c r="AI34" s="116">
        <f t="shared" si="3"/>
        <v>0</v>
      </c>
      <c r="AJ34" s="44" cm="1">
        <f t="array" ref="AJ34">AI34*_xlfn.IFS(OR(G30="None",G30=0),0,G30="Smart Controller",0.15,G30="HE MP Nozzles",0.1,G30="PRS-CV Heads",0.05)</f>
        <v>0</v>
      </c>
      <c r="AK34" s="118">
        <f>SUM(AI30-AI34)+AJ34</f>
        <v>165174.49999999997</v>
      </c>
      <c r="AL34" s="119">
        <f>IF(I30=0,0,1-((AI34-AJ34)/AI30))</f>
        <v>1</v>
      </c>
      <c r="AM34" s="246"/>
      <c r="AN34" s="241"/>
      <c r="AO34" s="243"/>
    </row>
    <row r="35" spans="1:41" ht="18" x14ac:dyDescent="0.3">
      <c r="A35" s="223"/>
      <c r="B35" s="226"/>
      <c r="C35" s="226"/>
      <c r="D35" s="226"/>
      <c r="E35" s="226"/>
      <c r="F35" s="226"/>
      <c r="G35" s="226"/>
      <c r="H35" s="226"/>
      <c r="I35" s="232"/>
      <c r="J35" s="15">
        <v>5</v>
      </c>
      <c r="K35" s="226"/>
      <c r="L35" s="15">
        <f>IF(AND(E30="Cool Season Turf",F30="High"),'Landscape Coefficients'!$B$13,IF(AND(E30="Cool Season Turf",F30="Medium"),'Landscape Coefficients'!$C$13,IF(AND(E30="Cool Season Turf",F30="Low"),'Landscape Coefficients'!$D$13,IF(AND(E30="Plantings",F30="High"),'Landscape Coefficients'!$E$13,IF(AND(E30="Plantings",F30="Medium"),'Landscape Coefficients'!$F$13,IF(AND(E30="Plantings",F30="Low"),'Landscape Coefficients'!$G$13,IF(AND(E30="Native Grass",F30="High"),'Landscape Coefficients'!$H$13,IF(AND(E30="Native Grass",F30="Medium"),'Landscape Coefficients'!$I$13,IF(AND(E30="Native Grass",F30="Low"),'Landscape Coefficients'!$J$13,IF(OR(F30="No Supplemental Irrigation",F30=0),0))))))))))</f>
        <v>0</v>
      </c>
      <c r="M35" s="115" cm="1">
        <f t="array" ref="M35">_xlfn.IFS(K31="Fixed Spray",0.65,K31="Rotor",0.7,K31="Standard Drip",0.7,K31="Microspray",0.7,K31="Efficient Drip",0.9,OR(K31="None",K31=0),0)</f>
        <v>0</v>
      </c>
      <c r="N35" s="235"/>
      <c r="O35" s="229"/>
      <c r="P35" s="229"/>
      <c r="Q35" s="229"/>
      <c r="R35" s="229"/>
      <c r="S35" s="229"/>
      <c r="T35" s="249"/>
      <c r="U35" s="235"/>
      <c r="V35" s="229"/>
      <c r="W35" s="229"/>
      <c r="X35" s="229"/>
      <c r="Y35" s="229"/>
      <c r="Z35" s="229"/>
      <c r="AA35" s="229"/>
      <c r="AB35" s="116">
        <f>MAX(0,IF(L31=0,0,(1/M31)*((N30*L35)-(U30*0.5))*I30*0.6233))</f>
        <v>0</v>
      </c>
      <c r="AC35" s="44">
        <f>MAX(0,IF(L31=0,0,(1/M31)*((O30*L35)-(V30*0.5))*I30*0.6233))</f>
        <v>0</v>
      </c>
      <c r="AD35" s="44">
        <f>MAX(0,IF(L31=0,0,(1/M31)*((P30*L35)-(W30*0.5))*I30*0.6233))</f>
        <v>0</v>
      </c>
      <c r="AE35" s="44">
        <f>MAX(0,IF(L31=0,0,(1/M31)*((Q30*L35)-(X30*0.5))*I30*0.6233))</f>
        <v>0</v>
      </c>
      <c r="AF35" s="44">
        <f>MAX(0,IF(L31=0,0,(1/M31)*((R30*L35)-(Y30*0.5))*I30*0.6233))</f>
        <v>0</v>
      </c>
      <c r="AG35" s="44">
        <f>MAX(0,IF(L31=0,0,(1/M31)*((S30*L35)-(Z30*0.5))*I30*0.6233))</f>
        <v>0</v>
      </c>
      <c r="AH35" s="117">
        <f>MAX(0,IF(L31=0,0,(1/M31)*((T30*L35)-(AA30*0.5))*I30*0.6233))</f>
        <v>0</v>
      </c>
      <c r="AI35" s="116">
        <f t="shared" si="3"/>
        <v>0</v>
      </c>
      <c r="AJ35" s="44" cm="1">
        <f t="array" ref="AJ35">AI35*_xlfn.IFS(OR(G30="None",G30=0),0,G30="Smart Controller",0.15,G30="HE MP Nozzles",0.1,G30="PRS-CV Heads",0.05)</f>
        <v>0</v>
      </c>
      <c r="AK35" s="118">
        <f>SUM(AI30-AI35)+AJ35</f>
        <v>165174.49999999997</v>
      </c>
      <c r="AL35" s="119">
        <f>IF(I30=0,0,1-((AI35-AJ35)/AI30))</f>
        <v>1</v>
      </c>
      <c r="AM35" s="246"/>
      <c r="AN35" s="241"/>
      <c r="AO35" s="243"/>
    </row>
    <row r="36" spans="1:41" ht="18.75" thickBot="1" x14ac:dyDescent="0.35">
      <c r="A36" s="224"/>
      <c r="B36" s="227"/>
      <c r="C36" s="227"/>
      <c r="D36" s="227"/>
      <c r="E36" s="227"/>
      <c r="F36" s="227"/>
      <c r="G36" s="227"/>
      <c r="H36" s="227"/>
      <c r="I36" s="233"/>
      <c r="J36" s="121">
        <v>6</v>
      </c>
      <c r="K36" s="227"/>
      <c r="L36" s="121">
        <f>IF(AND(E30="Cool Season Turf",F30="High"),'Landscape Coefficients'!$B$14,IF(AND(E30="Cool Season Turf",F30="Medium"),'Landscape Coefficients'!$C$14,IF(AND(E30="Cool Season Turf",F30="Low"),'Landscape Coefficients'!$D$14,IF(AND(E30="Plantings",F30="High"),'Landscape Coefficients'!$E$14,IF(AND(E30="Plantings",F30="Medium"),'Landscape Coefficients'!$F$14,IF(AND(E30="Plantings",F30="Low"),'Landscape Coefficients'!$G$14,IF(AND(E30="Native Grass",F30="High"),'Landscape Coefficients'!$H$14,IF(AND(E30="Native Grass",F30="Medium"),'Landscape Coefficients'!$I$14,IF(AND(E30="Native Grass",F30="Low"),'Landscape Coefficients'!$J$14,IF(OR(F30="No Supplemental Irrigation",F30=0),0))))))))))</f>
        <v>0</v>
      </c>
      <c r="M36" s="122" cm="1">
        <f t="array" ref="M36">_xlfn.IFS(K31="Fixed Spray",0.65,K31="Rotor",0.7,K31="Standard Drip",0.7,K31="Microspray",0.7,K31="Efficient Drip",0.9,OR(K31="None",K31=0),0)</f>
        <v>0</v>
      </c>
      <c r="N36" s="236"/>
      <c r="O36" s="230"/>
      <c r="P36" s="230"/>
      <c r="Q36" s="230"/>
      <c r="R36" s="230"/>
      <c r="S36" s="230"/>
      <c r="T36" s="250"/>
      <c r="U36" s="236"/>
      <c r="V36" s="230"/>
      <c r="W36" s="230"/>
      <c r="X36" s="230"/>
      <c r="Y36" s="230"/>
      <c r="Z36" s="230"/>
      <c r="AA36" s="230"/>
      <c r="AB36" s="123">
        <f>MAX(0,IF(L31=0,0,(1/M31)*((N30*L36)-(U30*0.5))*I30*0.6233))</f>
        <v>0</v>
      </c>
      <c r="AC36" s="124">
        <f>MAX(0,IF(L31=0,0,(1/M31)*((O30*L36)-(V30*0.5))*I30*0.6233))</f>
        <v>0</v>
      </c>
      <c r="AD36" s="124">
        <f>MAX(0,IF(L31=0,0,(1/M31)*((P30*L36)-(W30*0.5))*I30*0.6233))</f>
        <v>0</v>
      </c>
      <c r="AE36" s="124">
        <f>MAX(0,IF(L31=0,0,(1/M31)*((Q30*L36)-(X30*0.5))*I30*0.6233))</f>
        <v>0</v>
      </c>
      <c r="AF36" s="124">
        <f>MAX(0,IF(L31=0,0,(1/M31)*((R30*L36)-(Y30*0.5))*I30*0.6233))</f>
        <v>0</v>
      </c>
      <c r="AG36" s="124">
        <f>MAX(0,IF(L31=0,0,(1/M31)*((S30*L36)-(Z30*0.5))*I30*0.6233))</f>
        <v>0</v>
      </c>
      <c r="AH36" s="125">
        <f>MAX(0,IF(L31=0,0,(1/M31)*((T30*L36)-(AA30*0.5))*I30*0.6233))</f>
        <v>0</v>
      </c>
      <c r="AI36" s="123">
        <f t="shared" si="3"/>
        <v>0</v>
      </c>
      <c r="AJ36" s="124" cm="1">
        <f t="array" ref="AJ36">AI36*_xlfn.IFS(OR(G30="None",G30=0),0,G30="Smart Controller",0.15,G30="HE MP Nozzles",0.1,G30="PRS-CV Heads",0.05)</f>
        <v>0</v>
      </c>
      <c r="AK36" s="126">
        <f>SUM(AI30-AI36)+AJ36</f>
        <v>165174.49999999997</v>
      </c>
      <c r="AL36" s="127">
        <f>IF(I30=0,0,1-((AI36-AJ36)/AI30))</f>
        <v>1</v>
      </c>
      <c r="AM36" s="247"/>
      <c r="AN36" s="242"/>
      <c r="AO36" s="244"/>
    </row>
  </sheetData>
  <mergeCells count="112">
    <mergeCell ref="A6:J6"/>
    <mergeCell ref="AN31:AN36"/>
    <mergeCell ref="AO31:AO36"/>
    <mergeCell ref="W30:W36"/>
    <mergeCell ref="X30:X36"/>
    <mergeCell ref="Y30:Y36"/>
    <mergeCell ref="Z30:Z36"/>
    <mergeCell ref="AA30:AA36"/>
    <mergeCell ref="K31:K36"/>
    <mergeCell ref="Q30:Q36"/>
    <mergeCell ref="R30:R36"/>
    <mergeCell ref="S30:S36"/>
    <mergeCell ref="T30:T36"/>
    <mergeCell ref="U30:U36"/>
    <mergeCell ref="V30:V36"/>
    <mergeCell ref="AM31:AM36"/>
    <mergeCell ref="N30:N36"/>
    <mergeCell ref="O30:O36"/>
    <mergeCell ref="P30:P36"/>
    <mergeCell ref="A30:A36"/>
    <mergeCell ref="B30:B36"/>
    <mergeCell ref="C30:C36"/>
    <mergeCell ref="D30:D36"/>
    <mergeCell ref="E30:E36"/>
    <mergeCell ref="F30:F36"/>
    <mergeCell ref="Z23:Z29"/>
    <mergeCell ref="AA23:AA29"/>
    <mergeCell ref="K24:K29"/>
    <mergeCell ref="N23:N29"/>
    <mergeCell ref="O23:O29"/>
    <mergeCell ref="P23:P29"/>
    <mergeCell ref="Q23:Q29"/>
    <mergeCell ref="R23:R29"/>
    <mergeCell ref="S23:S29"/>
    <mergeCell ref="G30:G36"/>
    <mergeCell ref="H30:H36"/>
    <mergeCell ref="I30:I36"/>
    <mergeCell ref="AM24:AM29"/>
    <mergeCell ref="AN24:AN29"/>
    <mergeCell ref="AO24:AO29"/>
    <mergeCell ref="T23:T29"/>
    <mergeCell ref="U23:U29"/>
    <mergeCell ref="V23:V29"/>
    <mergeCell ref="W23:W29"/>
    <mergeCell ref="X23:X29"/>
    <mergeCell ref="Y23:Y29"/>
    <mergeCell ref="AO17:AO22"/>
    <mergeCell ref="A23:A29"/>
    <mergeCell ref="B23:B29"/>
    <mergeCell ref="C23:C29"/>
    <mergeCell ref="D23:D29"/>
    <mergeCell ref="E23:E29"/>
    <mergeCell ref="F23:F29"/>
    <mergeCell ref="G23:G29"/>
    <mergeCell ref="H23:H29"/>
    <mergeCell ref="I23:I29"/>
    <mergeCell ref="Y16:Y22"/>
    <mergeCell ref="Z16:Z22"/>
    <mergeCell ref="AA16:AA22"/>
    <mergeCell ref="K17:K22"/>
    <mergeCell ref="AM17:AM22"/>
    <mergeCell ref="AN17:AN22"/>
    <mergeCell ref="S16:S22"/>
    <mergeCell ref="T16:T22"/>
    <mergeCell ref="U16:U22"/>
    <mergeCell ref="V16:V22"/>
    <mergeCell ref="W16:W22"/>
    <mergeCell ref="X16:X22"/>
    <mergeCell ref="I16:I22"/>
    <mergeCell ref="N16:N22"/>
    <mergeCell ref="O16:O22"/>
    <mergeCell ref="P16:P22"/>
    <mergeCell ref="Q16:Q22"/>
    <mergeCell ref="R16:R22"/>
    <mergeCell ref="AN10:AN15"/>
    <mergeCell ref="AO10:AO15"/>
    <mergeCell ref="A16:A22"/>
    <mergeCell ref="B16:B22"/>
    <mergeCell ref="C16:C22"/>
    <mergeCell ref="D16:D22"/>
    <mergeCell ref="E16:E22"/>
    <mergeCell ref="F16:F22"/>
    <mergeCell ref="G16:G22"/>
    <mergeCell ref="H16:H22"/>
    <mergeCell ref="X9:X15"/>
    <mergeCell ref="Y9:Y15"/>
    <mergeCell ref="Z9:Z15"/>
    <mergeCell ref="AA9:AA15"/>
    <mergeCell ref="K10:K15"/>
    <mergeCell ref="AM10:AM15"/>
    <mergeCell ref="R9:R15"/>
    <mergeCell ref="S9:S15"/>
    <mergeCell ref="T9:T15"/>
    <mergeCell ref="U9:U15"/>
    <mergeCell ref="AB7:AH7"/>
    <mergeCell ref="A9:A15"/>
    <mergeCell ref="B9:B15"/>
    <mergeCell ref="C9:C15"/>
    <mergeCell ref="D9:D15"/>
    <mergeCell ref="E9:E15"/>
    <mergeCell ref="F9:F15"/>
    <mergeCell ref="G9:G15"/>
    <mergeCell ref="V9:V15"/>
    <mergeCell ref="W9:W15"/>
    <mergeCell ref="H9:H15"/>
    <mergeCell ref="I9:I15"/>
    <mergeCell ref="N9:N15"/>
    <mergeCell ref="O9:O15"/>
    <mergeCell ref="P9:P15"/>
    <mergeCell ref="Q9:Q15"/>
    <mergeCell ref="N7:T7"/>
    <mergeCell ref="U7:AA7"/>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8EEE2-07B2-4F2D-882A-A0A9C44C8685}">
  <sheetPr codeName="Sheet5"/>
  <dimension ref="A5:S30"/>
  <sheetViews>
    <sheetView topLeftCell="A9" workbookViewId="0">
      <selection activeCell="S34" sqref="S34"/>
    </sheetView>
  </sheetViews>
  <sheetFormatPr defaultColWidth="8.85546875" defaultRowHeight="16.5" x14ac:dyDescent="0.3"/>
  <cols>
    <col min="1" max="1" width="30.140625" style="1" customWidth="1"/>
    <col min="2" max="8" width="5.42578125" style="1" bestFit="1" customWidth="1"/>
    <col min="9" max="9" width="6" style="1" customWidth="1"/>
    <col min="10" max="10" width="31.85546875" style="1" customWidth="1"/>
    <col min="11" max="11" width="5.28515625" style="1" bestFit="1" customWidth="1"/>
    <col min="12" max="12" width="4.7109375" style="1" bestFit="1" customWidth="1"/>
    <col min="13" max="13" width="5.140625" style="1" bestFit="1" customWidth="1"/>
    <col min="14" max="14" width="4.42578125" style="1" bestFit="1" customWidth="1"/>
    <col min="15" max="15" width="5" style="1" bestFit="1" customWidth="1"/>
    <col min="16" max="16" width="5.42578125" style="1" bestFit="1" customWidth="1"/>
    <col min="17" max="17" width="5.140625" style="1" customWidth="1"/>
    <col min="18" max="18" width="6.42578125" style="1" bestFit="1" customWidth="1"/>
    <col min="19" max="19" width="26.140625" style="1" customWidth="1"/>
    <col min="20" max="20" width="20.85546875" style="1" customWidth="1"/>
    <col min="21" max="21" width="25.42578125" style="1" bestFit="1" customWidth="1"/>
    <col min="22" max="22" width="20.7109375" style="1" customWidth="1"/>
    <col min="23" max="23" width="26.42578125" style="1" customWidth="1"/>
    <col min="24" max="24" width="10.85546875" style="1" bestFit="1" customWidth="1"/>
    <col min="25" max="29" width="8.85546875" style="1"/>
    <col min="30" max="30" width="10.85546875" style="1" bestFit="1" customWidth="1"/>
    <col min="31" max="35" width="8.85546875" style="1"/>
    <col min="36" max="36" width="10.85546875" style="1" bestFit="1" customWidth="1"/>
    <col min="37" max="39" width="8.85546875" style="1"/>
    <col min="40" max="40" width="10.85546875" style="1" bestFit="1" customWidth="1"/>
    <col min="41" max="16384" width="8.85546875" style="1"/>
  </cols>
  <sheetData>
    <row r="5" spans="1:17" ht="17.25" thickBot="1" x14ac:dyDescent="0.35"/>
    <row r="6" spans="1:17" ht="18" x14ac:dyDescent="0.3">
      <c r="A6" s="255" t="s">
        <v>160</v>
      </c>
      <c r="B6" s="256"/>
      <c r="C6" s="256"/>
      <c r="D6" s="256"/>
      <c r="E6" s="256"/>
      <c r="F6" s="256"/>
      <c r="G6" s="256"/>
      <c r="H6" s="257"/>
      <c r="J6" s="258" t="s">
        <v>161</v>
      </c>
      <c r="K6" s="258"/>
      <c r="L6" s="258"/>
      <c r="M6" s="258"/>
      <c r="N6" s="258"/>
      <c r="O6" s="258"/>
      <c r="P6" s="258"/>
      <c r="Q6" s="258"/>
    </row>
    <row r="7" spans="1:17" x14ac:dyDescent="0.3">
      <c r="A7" s="129" t="s">
        <v>43</v>
      </c>
      <c r="B7" s="129" t="s">
        <v>21</v>
      </c>
      <c r="C7" s="129" t="s">
        <v>22</v>
      </c>
      <c r="D7" s="129" t="s">
        <v>23</v>
      </c>
      <c r="E7" s="129" t="s">
        <v>24</v>
      </c>
      <c r="F7" s="129" t="s">
        <v>44</v>
      </c>
      <c r="G7" s="129" t="s">
        <v>45</v>
      </c>
      <c r="H7" s="129" t="s">
        <v>46</v>
      </c>
      <c r="J7" s="130" t="s">
        <v>43</v>
      </c>
      <c r="K7" s="130" t="s">
        <v>21</v>
      </c>
      <c r="L7" s="130" t="s">
        <v>22</v>
      </c>
      <c r="M7" s="130" t="s">
        <v>23</v>
      </c>
      <c r="N7" s="130" t="s">
        <v>24</v>
      </c>
      <c r="O7" s="130" t="s">
        <v>44</v>
      </c>
      <c r="P7" s="130" t="s">
        <v>45</v>
      </c>
      <c r="Q7" s="130" t="s">
        <v>46</v>
      </c>
    </row>
    <row r="8" spans="1:17" x14ac:dyDescent="0.3">
      <c r="A8" s="131" t="s">
        <v>47</v>
      </c>
      <c r="B8" s="132">
        <v>2.13</v>
      </c>
      <c r="C8" s="132">
        <v>4.7300000000000004</v>
      </c>
      <c r="D8" s="132">
        <v>6.36</v>
      </c>
      <c r="E8" s="132">
        <v>6.5</v>
      </c>
      <c r="F8" s="132">
        <v>5.82</v>
      </c>
      <c r="G8" s="132">
        <v>4.5</v>
      </c>
      <c r="H8" s="132">
        <v>1.56</v>
      </c>
      <c r="J8" s="131" t="str">
        <f>A8</f>
        <v>Berthoud</v>
      </c>
      <c r="K8" s="132">
        <v>0.89</v>
      </c>
      <c r="L8" s="132">
        <v>3.85</v>
      </c>
      <c r="M8" s="132">
        <v>1.43</v>
      </c>
      <c r="N8" s="132">
        <v>1.36</v>
      </c>
      <c r="O8" s="132">
        <v>1.1599999999999999</v>
      </c>
      <c r="P8" s="132">
        <v>0.65</v>
      </c>
      <c r="Q8" s="132">
        <v>0.41</v>
      </c>
    </row>
    <row r="9" spans="1:17" x14ac:dyDescent="0.3">
      <c r="A9" s="131" t="s">
        <v>48</v>
      </c>
      <c r="B9" s="132">
        <v>2.11</v>
      </c>
      <c r="C9" s="132">
        <v>4.55</v>
      </c>
      <c r="D9" s="132">
        <v>6.05</v>
      </c>
      <c r="E9" s="132">
        <v>6.2</v>
      </c>
      <c r="F9" s="132">
        <v>5.64</v>
      </c>
      <c r="G9" s="132">
        <v>4.49</v>
      </c>
      <c r="H9" s="132">
        <v>1.6</v>
      </c>
      <c r="J9" s="131" t="str">
        <f t="shared" ref="J9:J21" si="0">A9</f>
        <v>Boulder</v>
      </c>
      <c r="K9" s="132">
        <v>1.36</v>
      </c>
      <c r="L9" s="132">
        <v>4.21</v>
      </c>
      <c r="M9" s="132">
        <v>1.85</v>
      </c>
      <c r="N9" s="132">
        <v>1.87</v>
      </c>
      <c r="O9" s="132">
        <v>1.21</v>
      </c>
      <c r="P9" s="132">
        <v>1.18</v>
      </c>
      <c r="Q9" s="132">
        <v>0.69</v>
      </c>
    </row>
    <row r="10" spans="1:17" x14ac:dyDescent="0.3">
      <c r="A10" s="131" t="s">
        <v>49</v>
      </c>
      <c r="B10" s="133">
        <v>2.2799999999999998</v>
      </c>
      <c r="C10" s="133">
        <v>4.97</v>
      </c>
      <c r="D10" s="133">
        <v>6.65</v>
      </c>
      <c r="E10" s="133">
        <v>6.39</v>
      </c>
      <c r="F10" s="133">
        <v>5.68</v>
      </c>
      <c r="G10" s="134">
        <v>4.49</v>
      </c>
      <c r="H10" s="134">
        <v>1.62</v>
      </c>
      <c r="J10" s="131" t="str">
        <f t="shared" si="0"/>
        <v>Eaton</v>
      </c>
      <c r="K10" s="133">
        <v>0.5</v>
      </c>
      <c r="L10" s="133">
        <v>1.84</v>
      </c>
      <c r="M10" s="133">
        <v>1.0900000000000001</v>
      </c>
      <c r="N10" s="133">
        <v>0.93</v>
      </c>
      <c r="O10" s="133">
        <v>0.62</v>
      </c>
      <c r="P10" s="134">
        <v>0.28999999999999998</v>
      </c>
      <c r="Q10" s="134">
        <v>0.23</v>
      </c>
    </row>
    <row r="11" spans="1:17" x14ac:dyDescent="0.3">
      <c r="A11" s="131" t="s">
        <v>50</v>
      </c>
      <c r="B11" s="132">
        <v>2.12</v>
      </c>
      <c r="C11" s="132">
        <v>4.63</v>
      </c>
      <c r="D11" s="132">
        <v>6.23</v>
      </c>
      <c r="E11" s="132">
        <v>6.12</v>
      </c>
      <c r="F11" s="132">
        <v>5.53</v>
      </c>
      <c r="G11" s="132">
        <v>4.3</v>
      </c>
      <c r="H11" s="132">
        <v>1.5</v>
      </c>
      <c r="J11" s="131" t="str">
        <f t="shared" si="0"/>
        <v>Fort Collins</v>
      </c>
      <c r="K11" s="132">
        <v>0.92</v>
      </c>
      <c r="L11" s="132">
        <v>3.4</v>
      </c>
      <c r="M11" s="132">
        <v>1.39</v>
      </c>
      <c r="N11" s="132">
        <v>1.4</v>
      </c>
      <c r="O11" s="132">
        <v>1.1100000000000001</v>
      </c>
      <c r="P11" s="132">
        <v>0.72</v>
      </c>
      <c r="Q11" s="132">
        <v>0.36</v>
      </c>
    </row>
    <row r="12" spans="1:17" x14ac:dyDescent="0.3">
      <c r="A12" s="131" t="s">
        <v>51</v>
      </c>
      <c r="B12" s="133">
        <v>2.25</v>
      </c>
      <c r="C12" s="133">
        <v>4.9800000000000004</v>
      </c>
      <c r="D12" s="133">
        <v>6.87</v>
      </c>
      <c r="E12" s="133">
        <v>7.05</v>
      </c>
      <c r="F12" s="133">
        <v>6.37</v>
      </c>
      <c r="G12" s="134">
        <v>5.01</v>
      </c>
      <c r="H12" s="134">
        <v>1.76</v>
      </c>
      <c r="J12" s="131" t="str">
        <f t="shared" si="0"/>
        <v>Fort Lupton</v>
      </c>
      <c r="K12" s="133">
        <v>1</v>
      </c>
      <c r="L12" s="133">
        <v>3.47</v>
      </c>
      <c r="M12" s="133">
        <v>1.72</v>
      </c>
      <c r="N12" s="133">
        <v>0.92</v>
      </c>
      <c r="O12" s="133">
        <v>0.98</v>
      </c>
      <c r="P12" s="134">
        <v>0.45</v>
      </c>
      <c r="Q12" s="134">
        <v>0.21</v>
      </c>
    </row>
    <row r="13" spans="1:17" x14ac:dyDescent="0.3">
      <c r="A13" s="131" t="s">
        <v>52</v>
      </c>
      <c r="B13" s="133">
        <v>2.23</v>
      </c>
      <c r="C13" s="133">
        <v>4.91</v>
      </c>
      <c r="D13" s="133">
        <v>6.67</v>
      </c>
      <c r="E13" s="133">
        <v>6.8</v>
      </c>
      <c r="F13" s="133">
        <v>6.02</v>
      </c>
      <c r="G13" s="134">
        <v>4.5599999999999996</v>
      </c>
      <c r="H13" s="134">
        <v>1.59</v>
      </c>
      <c r="J13" s="131" t="str">
        <f t="shared" si="0"/>
        <v>Gilcrest</v>
      </c>
      <c r="K13" s="133">
        <v>0.97</v>
      </c>
      <c r="L13" s="133">
        <v>3.43</v>
      </c>
      <c r="M13" s="133">
        <v>2.25</v>
      </c>
      <c r="N13" s="133">
        <v>1.72</v>
      </c>
      <c r="O13" s="133">
        <v>1.36</v>
      </c>
      <c r="P13" s="134">
        <v>1.05</v>
      </c>
      <c r="Q13" s="134">
        <v>0.35</v>
      </c>
    </row>
    <row r="14" spans="1:17" x14ac:dyDescent="0.3">
      <c r="A14" s="131" t="s">
        <v>53</v>
      </c>
      <c r="B14" s="133">
        <v>2.2000000000000002</v>
      </c>
      <c r="C14" s="133">
        <v>4.8600000000000003</v>
      </c>
      <c r="D14" s="133">
        <v>6.3</v>
      </c>
      <c r="E14" s="133">
        <v>6.44</v>
      </c>
      <c r="F14" s="133">
        <v>5.77</v>
      </c>
      <c r="G14" s="134">
        <v>4.46</v>
      </c>
      <c r="H14" s="134">
        <v>1.49</v>
      </c>
      <c r="J14" s="131" t="str">
        <f t="shared" si="0"/>
        <v>Greeley</v>
      </c>
      <c r="K14" s="133">
        <v>0.75</v>
      </c>
      <c r="L14" s="133">
        <v>2.95</v>
      </c>
      <c r="M14" s="133">
        <v>1.39</v>
      </c>
      <c r="N14" s="133">
        <v>1.18</v>
      </c>
      <c r="O14" s="133">
        <v>0.71</v>
      </c>
      <c r="P14" s="134">
        <v>0.4</v>
      </c>
      <c r="Q14" s="134">
        <v>0.33</v>
      </c>
    </row>
    <row r="15" spans="1:17" x14ac:dyDescent="0.3">
      <c r="A15" s="131" t="s">
        <v>54</v>
      </c>
      <c r="B15" s="133">
        <v>2.13</v>
      </c>
      <c r="C15" s="133">
        <v>4.58</v>
      </c>
      <c r="D15" s="133">
        <v>6.35</v>
      </c>
      <c r="E15" s="133">
        <v>6.61</v>
      </c>
      <c r="F15" s="133">
        <v>5.95</v>
      </c>
      <c r="G15" s="134">
        <v>4.7</v>
      </c>
      <c r="H15" s="134">
        <v>1.64</v>
      </c>
      <c r="J15" s="131" t="str">
        <f t="shared" si="0"/>
        <v>Johnsons Corner</v>
      </c>
      <c r="K15" s="133">
        <v>0.7</v>
      </c>
      <c r="L15" s="133">
        <v>3.64</v>
      </c>
      <c r="M15" s="133">
        <v>1.81</v>
      </c>
      <c r="N15" s="133">
        <v>1.28</v>
      </c>
      <c r="O15" s="133">
        <v>0.77</v>
      </c>
      <c r="P15" s="134">
        <v>0.73</v>
      </c>
      <c r="Q15" s="134">
        <v>0.28000000000000003</v>
      </c>
    </row>
    <row r="16" spans="1:17" x14ac:dyDescent="0.3">
      <c r="A16" s="131" t="s">
        <v>55</v>
      </c>
      <c r="B16" s="132">
        <v>2.09</v>
      </c>
      <c r="C16" s="132">
        <v>4.57</v>
      </c>
      <c r="D16" s="132">
        <v>6.11</v>
      </c>
      <c r="E16" s="132">
        <v>6.25</v>
      </c>
      <c r="F16" s="132">
        <v>5.52</v>
      </c>
      <c r="G16" s="132">
        <v>4.3</v>
      </c>
      <c r="H16" s="132">
        <v>1.54</v>
      </c>
      <c r="J16" s="131" t="str">
        <f t="shared" si="0"/>
        <v>Longmont</v>
      </c>
      <c r="K16" s="132">
        <v>0.87</v>
      </c>
      <c r="L16" s="132">
        <v>3.13</v>
      </c>
      <c r="M16" s="132">
        <v>1.45</v>
      </c>
      <c r="N16" s="132">
        <v>1.4</v>
      </c>
      <c r="O16" s="132">
        <v>1.17</v>
      </c>
      <c r="P16" s="132">
        <v>0.84</v>
      </c>
      <c r="Q16" s="132">
        <v>0.4</v>
      </c>
    </row>
    <row r="17" spans="1:19" x14ac:dyDescent="0.3">
      <c r="A17" s="131" t="s">
        <v>56</v>
      </c>
      <c r="B17" s="134">
        <v>1.95</v>
      </c>
      <c r="C17" s="134">
        <v>4.47</v>
      </c>
      <c r="D17" s="134">
        <v>5.97</v>
      </c>
      <c r="E17" s="134">
        <v>6.06</v>
      </c>
      <c r="F17" s="134">
        <v>5.39</v>
      </c>
      <c r="G17" s="134">
        <v>4.26</v>
      </c>
      <c r="H17" s="134">
        <v>1.48</v>
      </c>
      <c r="J17" s="131" t="str">
        <f t="shared" si="0"/>
        <v>Loveland</v>
      </c>
      <c r="K17" s="134">
        <v>1.01</v>
      </c>
      <c r="L17" s="134">
        <v>3.9</v>
      </c>
      <c r="M17" s="134">
        <v>1.57</v>
      </c>
      <c r="N17" s="134">
        <v>1.33</v>
      </c>
      <c r="O17" s="134">
        <v>1.1100000000000001</v>
      </c>
      <c r="P17" s="134">
        <v>0.76</v>
      </c>
      <c r="Q17" s="134">
        <v>0.5</v>
      </c>
    </row>
    <row r="18" spans="1:19" x14ac:dyDescent="0.3">
      <c r="A18" s="131" t="s">
        <v>100</v>
      </c>
      <c r="B18" s="134">
        <v>2.14</v>
      </c>
      <c r="C18" s="134">
        <v>4.6900000000000004</v>
      </c>
      <c r="D18" s="134">
        <v>6.3</v>
      </c>
      <c r="E18" s="134">
        <v>6.38</v>
      </c>
      <c r="F18" s="134">
        <v>5.72</v>
      </c>
      <c r="G18" s="134">
        <v>4.47</v>
      </c>
      <c r="H18" s="134">
        <v>1.57</v>
      </c>
      <c r="J18" s="131" t="str">
        <f t="shared" si="0"/>
        <v>Other (Avg of Northern Stations)</v>
      </c>
      <c r="K18" s="134">
        <v>0.94</v>
      </c>
      <c r="L18" s="134">
        <v>3.47</v>
      </c>
      <c r="M18" s="134">
        <v>1.61</v>
      </c>
      <c r="N18" s="134">
        <v>1.41</v>
      </c>
      <c r="O18" s="134">
        <v>1.08</v>
      </c>
      <c r="P18" s="134">
        <v>0.78</v>
      </c>
      <c r="Q18" s="134">
        <v>0.41</v>
      </c>
    </row>
    <row r="19" spans="1:19" x14ac:dyDescent="0.3">
      <c r="A19" s="129" t="s">
        <v>81</v>
      </c>
      <c r="B19" s="134">
        <v>1.8561651073875001</v>
      </c>
      <c r="C19" s="134">
        <v>5.3297437580291609</v>
      </c>
      <c r="D19" s="134">
        <v>7.4069944286946381</v>
      </c>
      <c r="E19" s="134">
        <v>7.7247418526373339</v>
      </c>
      <c r="F19" s="134">
        <v>6.2883574099751982</v>
      </c>
      <c r="G19" s="134">
        <v>4.7546906480791664</v>
      </c>
      <c r="H19" s="134">
        <v>1.3389391664601651</v>
      </c>
      <c r="J19" s="129" t="str">
        <f t="shared" si="0"/>
        <v>Westminster</v>
      </c>
      <c r="K19" s="135">
        <v>0.82402255639097499</v>
      </c>
      <c r="L19" s="135">
        <v>2.5816165413533838</v>
      </c>
      <c r="M19" s="135">
        <v>1.4046804511278193</v>
      </c>
      <c r="N19" s="135">
        <v>1.3079135338345864</v>
      </c>
      <c r="O19" s="135">
        <v>0.81627819548872182</v>
      </c>
      <c r="P19" s="135">
        <v>0.99639097744360894</v>
      </c>
      <c r="Q19" s="135">
        <v>0.4606484962406015</v>
      </c>
    </row>
    <row r="20" spans="1:19" x14ac:dyDescent="0.3">
      <c r="A20" s="129" t="s">
        <v>99</v>
      </c>
      <c r="B20" s="136">
        <v>2.216666666666665</v>
      </c>
      <c r="C20" s="136">
        <v>4.84</v>
      </c>
      <c r="D20" s="136">
        <v>6.0549999999999997</v>
      </c>
      <c r="E20" s="136">
        <v>6.1816666666666658</v>
      </c>
      <c r="F20" s="136">
        <v>5.6816666666666675</v>
      </c>
      <c r="G20" s="136">
        <v>4.51</v>
      </c>
      <c r="H20" s="136">
        <v>1.6066666666666649</v>
      </c>
      <c r="J20" s="129" t="str">
        <f t="shared" si="0"/>
        <v>Broomfield</v>
      </c>
      <c r="K20" s="129">
        <v>0.54</v>
      </c>
      <c r="L20" s="129">
        <v>2.81</v>
      </c>
      <c r="M20" s="129">
        <v>1.02</v>
      </c>
      <c r="N20" s="129">
        <v>1.41</v>
      </c>
      <c r="O20" s="129">
        <v>1.4</v>
      </c>
      <c r="P20" s="129">
        <v>0.73</v>
      </c>
      <c r="Q20" s="129">
        <v>0.41499999999999998</v>
      </c>
      <c r="S20" s="137"/>
    </row>
    <row r="21" spans="1:19" x14ac:dyDescent="0.3">
      <c r="A21" s="138" t="s">
        <v>122</v>
      </c>
      <c r="B21" s="138">
        <v>2</v>
      </c>
      <c r="C21" s="138">
        <v>5</v>
      </c>
      <c r="D21" s="138">
        <v>6</v>
      </c>
      <c r="E21" s="138">
        <v>7</v>
      </c>
      <c r="F21" s="138">
        <v>6</v>
      </c>
      <c r="G21" s="138">
        <v>6</v>
      </c>
      <c r="H21" s="138">
        <v>2</v>
      </c>
      <c r="J21" s="138" t="str">
        <f t="shared" si="0"/>
        <v>OTHER</v>
      </c>
      <c r="K21" s="138">
        <v>1</v>
      </c>
      <c r="L21" s="138">
        <v>3</v>
      </c>
      <c r="M21" s="138">
        <v>2</v>
      </c>
      <c r="N21" s="138">
        <v>2</v>
      </c>
      <c r="O21" s="138">
        <v>1</v>
      </c>
      <c r="P21" s="138">
        <v>1</v>
      </c>
      <c r="Q21" s="138">
        <v>0.5</v>
      </c>
    </row>
    <row r="22" spans="1:19" ht="18" x14ac:dyDescent="0.3">
      <c r="A22" s="1" t="s">
        <v>162</v>
      </c>
    </row>
    <row r="23" spans="1:19" ht="18" x14ac:dyDescent="0.3">
      <c r="A23" s="1" t="s">
        <v>163</v>
      </c>
    </row>
    <row r="24" spans="1:19" x14ac:dyDescent="0.3">
      <c r="A24" s="1" t="s">
        <v>127</v>
      </c>
    </row>
    <row r="25" spans="1:19" x14ac:dyDescent="0.3">
      <c r="A25" s="1" t="s">
        <v>123</v>
      </c>
    </row>
    <row r="26" spans="1:19" ht="17.25" thickBot="1" x14ac:dyDescent="0.35"/>
    <row r="27" spans="1:19" x14ac:dyDescent="0.3">
      <c r="A27" s="7" t="s">
        <v>126</v>
      </c>
      <c r="B27" s="141"/>
      <c r="C27" s="141"/>
      <c r="D27" s="141"/>
      <c r="E27" s="141"/>
      <c r="F27" s="141"/>
      <c r="G27" s="141"/>
      <c r="H27" s="141"/>
      <c r="I27" s="141"/>
      <c r="J27" s="141"/>
      <c r="K27" s="141"/>
      <c r="L27" s="141"/>
      <c r="M27" s="141"/>
      <c r="N27" s="141"/>
      <c r="O27" s="141"/>
      <c r="P27" s="141"/>
      <c r="Q27" s="141"/>
      <c r="R27" s="141"/>
      <c r="S27" s="142"/>
    </row>
    <row r="28" spans="1:19" x14ac:dyDescent="0.3">
      <c r="A28" s="139" t="s">
        <v>164</v>
      </c>
      <c r="S28" s="11"/>
    </row>
    <row r="29" spans="1:19" x14ac:dyDescent="0.3">
      <c r="A29" s="139" t="s">
        <v>124</v>
      </c>
      <c r="S29" s="11"/>
    </row>
    <row r="30" spans="1:19" ht="17.25" thickBot="1" x14ac:dyDescent="0.35">
      <c r="A30" s="140" t="s">
        <v>128</v>
      </c>
      <c r="B30" s="13"/>
      <c r="C30" s="13"/>
      <c r="D30" s="13"/>
      <c r="E30" s="13"/>
      <c r="F30" s="13"/>
      <c r="G30" s="13"/>
      <c r="H30" s="13"/>
      <c r="I30" s="13"/>
      <c r="J30" s="13"/>
      <c r="K30" s="13"/>
      <c r="L30" s="13"/>
      <c r="M30" s="13"/>
      <c r="N30" s="13"/>
      <c r="O30" s="13"/>
      <c r="P30" s="13"/>
      <c r="Q30" s="13"/>
      <c r="R30" s="13"/>
      <c r="S30" s="14"/>
    </row>
  </sheetData>
  <mergeCells count="2">
    <mergeCell ref="A6:H6"/>
    <mergeCell ref="J6:Q6"/>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AA3E6-5911-47D6-A302-207DDFD29BC8}">
  <sheetPr codeName="Sheet4"/>
  <dimension ref="A5:K14"/>
  <sheetViews>
    <sheetView zoomScale="171" workbookViewId="0">
      <selection activeCell="K17" sqref="K17"/>
    </sheetView>
  </sheetViews>
  <sheetFormatPr defaultColWidth="8.85546875" defaultRowHeight="16.5" x14ac:dyDescent="0.3"/>
  <cols>
    <col min="1" max="1" width="29.28515625" style="1" customWidth="1"/>
    <col min="2" max="2" width="11.42578125" style="1" bestFit="1" customWidth="1"/>
    <col min="3" max="16384" width="8.85546875" style="1"/>
  </cols>
  <sheetData>
    <row r="5" spans="1:11" ht="17.25" thickBot="1" x14ac:dyDescent="0.35"/>
    <row r="6" spans="1:11" x14ac:dyDescent="0.3">
      <c r="A6" s="148" t="s">
        <v>35</v>
      </c>
      <c r="B6" s="262" t="s">
        <v>36</v>
      </c>
      <c r="C6" s="263"/>
      <c r="D6" s="264"/>
      <c r="E6" s="265" t="s">
        <v>37</v>
      </c>
      <c r="F6" s="266"/>
      <c r="G6" s="267"/>
      <c r="H6" s="259" t="s">
        <v>38</v>
      </c>
      <c r="I6" s="260"/>
      <c r="J6" s="261"/>
      <c r="K6" s="149" t="s">
        <v>98</v>
      </c>
    </row>
    <row r="7" spans="1:11" x14ac:dyDescent="0.3">
      <c r="A7" s="150" t="s">
        <v>39</v>
      </c>
      <c r="B7" s="167" t="s">
        <v>40</v>
      </c>
      <c r="C7" s="168" t="s">
        <v>41</v>
      </c>
      <c r="D7" s="169" t="s">
        <v>42</v>
      </c>
      <c r="E7" s="170" t="s">
        <v>40</v>
      </c>
      <c r="F7" s="171" t="s">
        <v>41</v>
      </c>
      <c r="G7" s="172" t="s">
        <v>42</v>
      </c>
      <c r="H7" s="173" t="s">
        <v>40</v>
      </c>
      <c r="I7" s="174" t="s">
        <v>41</v>
      </c>
      <c r="J7" s="175" t="s">
        <v>42</v>
      </c>
      <c r="K7" s="151"/>
    </row>
    <row r="8" spans="1:11" x14ac:dyDescent="0.3">
      <c r="A8" s="152" t="s">
        <v>34</v>
      </c>
      <c r="B8" s="153">
        <v>0.8</v>
      </c>
      <c r="C8" s="154">
        <v>0.7</v>
      </c>
      <c r="D8" s="155">
        <v>0.6</v>
      </c>
      <c r="E8" s="153">
        <v>0.7</v>
      </c>
      <c r="F8" s="154">
        <v>0.5</v>
      </c>
      <c r="G8" s="155">
        <v>0.2</v>
      </c>
      <c r="H8" s="153">
        <v>0.5</v>
      </c>
      <c r="I8" s="154">
        <v>0.4</v>
      </c>
      <c r="J8" s="155">
        <v>0.2</v>
      </c>
      <c r="K8" s="156">
        <v>0</v>
      </c>
    </row>
    <row r="9" spans="1:11" x14ac:dyDescent="0.3">
      <c r="A9" s="157" t="s">
        <v>115</v>
      </c>
      <c r="B9" s="158">
        <v>0.9</v>
      </c>
      <c r="C9" s="159">
        <v>0.8</v>
      </c>
      <c r="D9" s="160">
        <v>0.7</v>
      </c>
      <c r="E9" s="158">
        <v>0.8</v>
      </c>
      <c r="F9" s="159">
        <v>0.6</v>
      </c>
      <c r="G9" s="160">
        <v>0.5</v>
      </c>
      <c r="H9" s="158">
        <v>0.7</v>
      </c>
      <c r="I9" s="159">
        <v>0.7</v>
      </c>
      <c r="J9" s="160">
        <v>0.7</v>
      </c>
      <c r="K9" s="161">
        <v>0</v>
      </c>
    </row>
    <row r="10" spans="1:11" x14ac:dyDescent="0.3">
      <c r="A10" s="157" t="s">
        <v>116</v>
      </c>
      <c r="B10" s="158">
        <v>0.8</v>
      </c>
      <c r="C10" s="159">
        <v>0.7</v>
      </c>
      <c r="D10" s="160">
        <v>0.6</v>
      </c>
      <c r="E10" s="158">
        <v>0.75</v>
      </c>
      <c r="F10" s="159">
        <v>0.55000000000000004</v>
      </c>
      <c r="G10" s="160">
        <v>0.3</v>
      </c>
      <c r="H10" s="158">
        <v>0.6</v>
      </c>
      <c r="I10" s="159">
        <v>0.6</v>
      </c>
      <c r="J10" s="160">
        <v>0.4</v>
      </c>
      <c r="K10" s="161">
        <v>0</v>
      </c>
    </row>
    <row r="11" spans="1:11" x14ac:dyDescent="0.3">
      <c r="A11" s="157" t="s">
        <v>117</v>
      </c>
      <c r="B11" s="158">
        <v>0.8</v>
      </c>
      <c r="C11" s="159">
        <v>0.7</v>
      </c>
      <c r="D11" s="160">
        <v>0.6</v>
      </c>
      <c r="E11" s="158">
        <v>0.7</v>
      </c>
      <c r="F11" s="159">
        <v>0.5</v>
      </c>
      <c r="G11" s="160">
        <v>0.2</v>
      </c>
      <c r="H11" s="158">
        <v>0.5</v>
      </c>
      <c r="I11" s="159">
        <v>0.4</v>
      </c>
      <c r="J11" s="160">
        <v>0.2</v>
      </c>
      <c r="K11" s="161">
        <v>0</v>
      </c>
    </row>
    <row r="12" spans="1:11" x14ac:dyDescent="0.3">
      <c r="A12" s="157" t="s">
        <v>118</v>
      </c>
      <c r="B12" s="158">
        <v>0.8</v>
      </c>
      <c r="C12" s="159">
        <v>0.7</v>
      </c>
      <c r="D12" s="160">
        <v>0.6</v>
      </c>
      <c r="E12" s="158">
        <v>0.7</v>
      </c>
      <c r="F12" s="159">
        <v>0.5</v>
      </c>
      <c r="G12" s="160">
        <v>0.2</v>
      </c>
      <c r="H12" s="158">
        <v>0.5</v>
      </c>
      <c r="I12" s="159">
        <v>0.4</v>
      </c>
      <c r="J12" s="160">
        <v>0.2</v>
      </c>
      <c r="K12" s="161">
        <v>0</v>
      </c>
    </row>
    <row r="13" spans="1:11" x14ac:dyDescent="0.3">
      <c r="A13" s="157" t="s">
        <v>119</v>
      </c>
      <c r="B13" s="158">
        <v>0.8</v>
      </c>
      <c r="C13" s="159">
        <v>0.7</v>
      </c>
      <c r="D13" s="160">
        <v>0.6</v>
      </c>
      <c r="E13" s="158">
        <v>0.7</v>
      </c>
      <c r="F13" s="159">
        <v>0.5</v>
      </c>
      <c r="G13" s="160">
        <v>0.2</v>
      </c>
      <c r="H13" s="158">
        <v>0.5</v>
      </c>
      <c r="I13" s="159">
        <v>0.4</v>
      </c>
      <c r="J13" s="160">
        <v>0.2</v>
      </c>
      <c r="K13" s="161">
        <v>0</v>
      </c>
    </row>
    <row r="14" spans="1:11" ht="17.25" thickBot="1" x14ac:dyDescent="0.35">
      <c r="A14" s="162" t="s">
        <v>120</v>
      </c>
      <c r="B14" s="163">
        <v>0.8</v>
      </c>
      <c r="C14" s="164">
        <v>0.7</v>
      </c>
      <c r="D14" s="165">
        <v>0.6</v>
      </c>
      <c r="E14" s="163">
        <v>0.7</v>
      </c>
      <c r="F14" s="164">
        <v>0.5</v>
      </c>
      <c r="G14" s="165">
        <v>0.2</v>
      </c>
      <c r="H14" s="163">
        <v>0.5</v>
      </c>
      <c r="I14" s="164">
        <v>0.4</v>
      </c>
      <c r="J14" s="165">
        <v>0.2</v>
      </c>
      <c r="K14" s="166">
        <v>0</v>
      </c>
    </row>
  </sheetData>
  <mergeCells count="3">
    <mergeCell ref="H6:J6"/>
    <mergeCell ref="B6:D6"/>
    <mergeCell ref="E6:G6"/>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DB7BA-A0B5-4B03-B6A1-1A49005B67A9}">
  <dimension ref="B5:E14"/>
  <sheetViews>
    <sheetView workbookViewId="0">
      <selection activeCell="H16" sqref="H16"/>
    </sheetView>
  </sheetViews>
  <sheetFormatPr defaultColWidth="8.85546875" defaultRowHeight="16.5" x14ac:dyDescent="0.3"/>
  <cols>
    <col min="1" max="1" width="8.85546875" style="1"/>
    <col min="2" max="2" width="17.42578125" style="1" customWidth="1"/>
    <col min="3" max="3" width="25.42578125" style="1" bestFit="1" customWidth="1"/>
    <col min="4" max="4" width="21.28515625" style="1" customWidth="1"/>
    <col min="5" max="5" width="28.42578125" style="1" customWidth="1"/>
    <col min="6" max="16384" width="8.85546875" style="1"/>
  </cols>
  <sheetData>
    <row r="5" spans="2:5" ht="17.25" thickBot="1" x14ac:dyDescent="0.35"/>
    <row r="6" spans="2:5" x14ac:dyDescent="0.3">
      <c r="B6" s="268" t="s">
        <v>109</v>
      </c>
      <c r="C6" s="269"/>
      <c r="D6" s="269"/>
      <c r="E6" s="270"/>
    </row>
    <row r="7" spans="2:5" x14ac:dyDescent="0.3">
      <c r="B7" s="176" t="s">
        <v>103</v>
      </c>
      <c r="C7" s="177"/>
      <c r="D7" s="177"/>
      <c r="E7" s="178"/>
    </row>
    <row r="8" spans="2:5" x14ac:dyDescent="0.3">
      <c r="B8" s="179" t="s">
        <v>35</v>
      </c>
      <c r="C8" s="180" t="s">
        <v>104</v>
      </c>
      <c r="D8" s="180" t="s">
        <v>19</v>
      </c>
      <c r="E8" s="181" t="s">
        <v>106</v>
      </c>
    </row>
    <row r="9" spans="2:5" x14ac:dyDescent="0.3">
      <c r="B9" s="139" t="s">
        <v>36</v>
      </c>
      <c r="C9" s="1" t="s">
        <v>102</v>
      </c>
      <c r="D9" s="1" t="s">
        <v>98</v>
      </c>
      <c r="E9" s="11" t="s">
        <v>98</v>
      </c>
    </row>
    <row r="10" spans="2:5" x14ac:dyDescent="0.3">
      <c r="B10" s="139" t="s">
        <v>37</v>
      </c>
      <c r="C10" s="1" t="s">
        <v>42</v>
      </c>
      <c r="D10" s="1" t="s">
        <v>83</v>
      </c>
      <c r="E10" s="11" t="s">
        <v>91</v>
      </c>
    </row>
    <row r="11" spans="2:5" x14ac:dyDescent="0.3">
      <c r="B11" s="139" t="s">
        <v>38</v>
      </c>
      <c r="C11" s="1" t="s">
        <v>41</v>
      </c>
      <c r="D11" s="1" t="s">
        <v>90</v>
      </c>
      <c r="E11" s="11" t="s">
        <v>107</v>
      </c>
    </row>
    <row r="12" spans="2:5" x14ac:dyDescent="0.3">
      <c r="B12" s="139" t="s">
        <v>136</v>
      </c>
      <c r="C12" s="1" t="s">
        <v>40</v>
      </c>
      <c r="D12" s="1" t="s">
        <v>112</v>
      </c>
      <c r="E12" s="11" t="s">
        <v>108</v>
      </c>
    </row>
    <row r="13" spans="2:5" x14ac:dyDescent="0.3">
      <c r="B13" s="139"/>
      <c r="D13" s="1" t="s">
        <v>105</v>
      </c>
      <c r="E13" s="11"/>
    </row>
    <row r="14" spans="2:5" ht="17.25" thickBot="1" x14ac:dyDescent="0.35">
      <c r="B14" s="140"/>
      <c r="C14" s="13"/>
      <c r="D14" s="13" t="s">
        <v>101</v>
      </c>
      <c r="E14" s="14"/>
    </row>
  </sheetData>
  <mergeCells count="1">
    <mergeCell ref="B6:E6"/>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f85d117-1109-4ab0-be72-3ce6926bcf4f">
      <UserInfo>
        <DisplayName/>
        <AccountId xsi:nil="true"/>
        <AccountType/>
      </UserInfo>
    </SharedWithUsers>
    <MediaLengthInSeconds xmlns="5817c25d-c55b-4e4c-8924-fdd2d3f35a87" xsi:nil="true"/>
    <lcf76f155ced4ddcb4097134ff3c332f xmlns="5817c25d-c55b-4e4c-8924-fdd2d3f35a87">
      <Terms xmlns="http://schemas.microsoft.com/office/infopath/2007/PartnerControls"/>
    </lcf76f155ced4ddcb4097134ff3c332f>
    <TaxCatchAll xmlns="2119d55a-243f-4a68-be92-96337d1b469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201908D297AA24EA75CA9B1A503137A" ma:contentTypeVersion="16" ma:contentTypeDescription="Create a new document." ma:contentTypeScope="" ma:versionID="e4afe5ed29359770db3ac1ee7ddca01a">
  <xsd:schema xmlns:xsd="http://www.w3.org/2001/XMLSchema" xmlns:xs="http://www.w3.org/2001/XMLSchema" xmlns:p="http://schemas.microsoft.com/office/2006/metadata/properties" xmlns:ns2="5817c25d-c55b-4e4c-8924-fdd2d3f35a87" xmlns:ns3="9f85d117-1109-4ab0-be72-3ce6926bcf4f" xmlns:ns4="2119d55a-243f-4a68-be92-96337d1b4695" targetNamespace="http://schemas.microsoft.com/office/2006/metadata/properties" ma:root="true" ma:fieldsID="5558b68b56ed13f7b0a0da78ca221d46" ns2:_="" ns3:_="" ns4:_="">
    <xsd:import namespace="5817c25d-c55b-4e4c-8924-fdd2d3f35a87"/>
    <xsd:import namespace="9f85d117-1109-4ab0-be72-3ce6926bcf4f"/>
    <xsd:import namespace="2119d55a-243f-4a68-be92-96337d1b46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17c25d-c55b-4e4c-8924-fdd2d3f35a8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a00f182-e1b6-4f97-98fd-a3eac3011e8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f85d117-1109-4ab0-be72-3ce6926bcf4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119d55a-243f-4a68-be92-96337d1b4695"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930ae705-4760-48bf-b2fe-b8555c3d3df0}" ma:internalName="TaxCatchAll" ma:showField="CatchAllData" ma:web="2119d55a-243f-4a68-be92-96337d1b46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25A602-EDC3-4B93-962C-8A0CCD90F54B}">
  <ds:schemaRefs>
    <ds:schemaRef ds:uri="http://schemas.microsoft.com/office/2006/metadata/properties"/>
    <ds:schemaRef ds:uri="http://schemas.microsoft.com/office/infopath/2007/PartnerControls"/>
    <ds:schemaRef ds:uri="9f85d117-1109-4ab0-be72-3ce6926bcf4f"/>
    <ds:schemaRef ds:uri="5817c25d-c55b-4e4c-8924-fdd2d3f35a87"/>
    <ds:schemaRef ds:uri="2119d55a-243f-4a68-be92-96337d1b4695"/>
  </ds:schemaRefs>
</ds:datastoreItem>
</file>

<file path=customXml/itemProps2.xml><?xml version="1.0" encoding="utf-8"?>
<ds:datastoreItem xmlns:ds="http://schemas.openxmlformats.org/officeDocument/2006/customXml" ds:itemID="{2428B62E-8D8E-4941-8CFC-0F49471AA901}">
  <ds:schemaRefs>
    <ds:schemaRef ds:uri="http://schemas.microsoft.com/sharepoint/v3/contenttype/forms"/>
  </ds:schemaRefs>
</ds:datastoreItem>
</file>

<file path=customXml/itemProps3.xml><?xml version="1.0" encoding="utf-8"?>
<ds:datastoreItem xmlns:ds="http://schemas.openxmlformats.org/officeDocument/2006/customXml" ds:itemID="{380E347A-E112-450B-853D-4F0B840380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17c25d-c55b-4e4c-8924-fdd2d3f35a87"/>
    <ds:schemaRef ds:uri="9f85d117-1109-4ab0-be72-3ce6926bcf4f"/>
    <ds:schemaRef ds:uri="2119d55a-243f-4a68-be92-96337d1b46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READMe</vt:lpstr>
      <vt:lpstr>RetrofitResultsTable</vt:lpstr>
      <vt:lpstr>RetrofitScenario_EnterData</vt:lpstr>
      <vt:lpstr>RetrofitScenario_Calcs</vt:lpstr>
      <vt:lpstr>Consolidated ET Averages</vt:lpstr>
      <vt:lpstr>Landscape Coefficients</vt:lpstr>
      <vt:lpstr>DropDownLists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Darren Nowels</dc:creator>
  <cp:keywords/>
  <dc:description/>
  <cp:lastModifiedBy>Laura Belanger</cp:lastModifiedBy>
  <cp:revision/>
  <dcterms:created xsi:type="dcterms:W3CDTF">2021-10-28T17:00:57Z</dcterms:created>
  <dcterms:modified xsi:type="dcterms:W3CDTF">2024-06-27T15:31:23Z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0x0101004201908D297AA24EA75CA9B1A503137A</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MSIP_Label_bed7535f-35a9-4905-95b5-0a30079ac363_Enabled">
    <vt:lpwstr>true</vt:lpwstr>
  </property>
  <property fmtid="{D5CDD505-2E9C-101B-9397-08002B2CF9AE}" pid="7" name="MSIP_Label_bed7535f-35a9-4905-95b5-0a30079ac363_SetDate">
    <vt:lpwstr>2022-06-13T17:09:58Z</vt:lpwstr>
  </property>
  <property fmtid="{D5CDD505-2E9C-101B-9397-08002B2CF9AE}" pid="8" name="MSIP_Label_bed7535f-35a9-4905-95b5-0a30079ac363_Method">
    <vt:lpwstr>Standard</vt:lpwstr>
  </property>
  <property fmtid="{D5CDD505-2E9C-101B-9397-08002B2CF9AE}" pid="9" name="MSIP_Label_bed7535f-35a9-4905-95b5-0a30079ac363_Name">
    <vt:lpwstr>defa4170-0d19-0005-0004-bc88714345d2</vt:lpwstr>
  </property>
  <property fmtid="{D5CDD505-2E9C-101B-9397-08002B2CF9AE}" pid="10" name="MSIP_Label_bed7535f-35a9-4905-95b5-0a30079ac363_SiteId">
    <vt:lpwstr>15892dcf-9fd0-461a-9aed-ec96010b0960</vt:lpwstr>
  </property>
  <property fmtid="{D5CDD505-2E9C-101B-9397-08002B2CF9AE}" pid="11" name="MSIP_Label_bed7535f-35a9-4905-95b5-0a30079ac363_ActionId">
    <vt:lpwstr>182822ce-ed4d-4f5c-a1f4-d14445a9d65f</vt:lpwstr>
  </property>
  <property fmtid="{D5CDD505-2E9C-101B-9397-08002B2CF9AE}" pid="12" name="MSIP_Label_bed7535f-35a9-4905-95b5-0a30079ac363_ContentBits">
    <vt:lpwstr>0</vt:lpwstr>
  </property>
  <property fmtid="{D5CDD505-2E9C-101B-9397-08002B2CF9AE}" pid="13" name="MediaServiceImageTags">
    <vt:lpwstr/>
  </property>
</Properties>
</file>